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685" yWindow="315" windowWidth="11715" windowHeight="11535" activeTab="2"/>
  </bookViews>
  <sheets>
    <sheet name="Summary" sheetId="4" r:id="rId1"/>
    <sheet name="Directivity and Loss (Narda)" sheetId="2" r:id="rId2"/>
    <sheet name="Diagrams" sheetId="3" r:id="rId3"/>
  </sheets>
  <calcPr calcId="125725"/>
</workbook>
</file>

<file path=xl/calcChain.xml><?xml version="1.0" encoding="utf-8"?>
<calcChain xmlns="http://schemas.openxmlformats.org/spreadsheetml/2006/main">
  <c r="P55" i="4"/>
  <c r="O55"/>
  <c r="E55"/>
  <c r="D55"/>
  <c r="P54"/>
  <c r="O54"/>
  <c r="E54"/>
  <c r="D54"/>
  <c r="P53"/>
  <c r="O53"/>
  <c r="E53"/>
  <c r="D53"/>
  <c r="P52"/>
  <c r="O52"/>
  <c r="E52"/>
  <c r="D52"/>
  <c r="P51"/>
  <c r="O51"/>
  <c r="E51"/>
  <c r="D51"/>
  <c r="P50"/>
  <c r="O50"/>
  <c r="E50"/>
  <c r="D50"/>
  <c r="P49"/>
  <c r="O49"/>
  <c r="E49"/>
  <c r="D49"/>
  <c r="P45"/>
  <c r="O45"/>
  <c r="E45"/>
  <c r="F45" s="1"/>
  <c r="D45"/>
  <c r="P44"/>
  <c r="O44"/>
  <c r="E44"/>
  <c r="D44"/>
  <c r="P43"/>
  <c r="O43"/>
  <c r="F43"/>
  <c r="E43"/>
  <c r="H43" s="1"/>
  <c r="D43"/>
  <c r="P42"/>
  <c r="O42"/>
  <c r="E42"/>
  <c r="D42"/>
  <c r="P41"/>
  <c r="O41"/>
  <c r="E41"/>
  <c r="H41" s="1"/>
  <c r="D41"/>
  <c r="P40"/>
  <c r="O40"/>
  <c r="E40"/>
  <c r="D40"/>
  <c r="P39"/>
  <c r="O39"/>
  <c r="E39"/>
  <c r="H39" s="1"/>
  <c r="D39"/>
  <c r="P31"/>
  <c r="O31"/>
  <c r="E31"/>
  <c r="D31"/>
  <c r="P20"/>
  <c r="O20"/>
  <c r="E20"/>
  <c r="D20"/>
  <c r="P9"/>
  <c r="O9"/>
  <c r="E9"/>
  <c r="D9"/>
  <c r="P29"/>
  <c r="O29"/>
  <c r="E29"/>
  <c r="F29" s="1"/>
  <c r="D29"/>
  <c r="P28"/>
  <c r="O28"/>
  <c r="E28"/>
  <c r="D28"/>
  <c r="P23"/>
  <c r="O23"/>
  <c r="E23"/>
  <c r="D23"/>
  <c r="P22"/>
  <c r="O22"/>
  <c r="E22"/>
  <c r="D22"/>
  <c r="P21"/>
  <c r="O21"/>
  <c r="E21"/>
  <c r="D21"/>
  <c r="P19"/>
  <c r="O19"/>
  <c r="E19"/>
  <c r="D19"/>
  <c r="P18"/>
  <c r="O18"/>
  <c r="E18"/>
  <c r="D18"/>
  <c r="P17"/>
  <c r="O17"/>
  <c r="E17"/>
  <c r="D17"/>
  <c r="P6"/>
  <c r="O6"/>
  <c r="E6"/>
  <c r="D6"/>
  <c r="P7"/>
  <c r="O7"/>
  <c r="E7"/>
  <c r="D7"/>
  <c r="P34"/>
  <c r="O34"/>
  <c r="E34"/>
  <c r="D34"/>
  <c r="P33"/>
  <c r="O33"/>
  <c r="E33"/>
  <c r="D33"/>
  <c r="P32"/>
  <c r="O32"/>
  <c r="E32"/>
  <c r="D32"/>
  <c r="P30"/>
  <c r="O30"/>
  <c r="E30"/>
  <c r="F30" s="1"/>
  <c r="D30"/>
  <c r="P12"/>
  <c r="O12"/>
  <c r="E12"/>
  <c r="D12"/>
  <c r="P11"/>
  <c r="O11"/>
  <c r="E11"/>
  <c r="F11" s="1"/>
  <c r="D11"/>
  <c r="P10"/>
  <c r="O10"/>
  <c r="E10"/>
  <c r="D10"/>
  <c r="P8"/>
  <c r="O8"/>
  <c r="E8"/>
  <c r="H8" s="1"/>
  <c r="D8"/>
  <c r="F26" i="2"/>
  <c r="F25"/>
  <c r="F24"/>
  <c r="F23"/>
  <c r="F22"/>
  <c r="F21"/>
  <c r="F20"/>
  <c r="F19"/>
  <c r="F18"/>
  <c r="E26"/>
  <c r="E25"/>
  <c r="E24"/>
  <c r="E23"/>
  <c r="E22"/>
  <c r="E21"/>
  <c r="E20"/>
  <c r="E19"/>
  <c r="E18"/>
  <c r="F41" i="4" l="1"/>
  <c r="F39"/>
  <c r="F49"/>
  <c r="H49"/>
  <c r="R49"/>
  <c r="T49" s="1"/>
  <c r="V49"/>
  <c r="G50"/>
  <c r="I50" s="1"/>
  <c r="J50" s="1"/>
  <c r="L50" s="1"/>
  <c r="S50"/>
  <c r="U50" s="1"/>
  <c r="F51"/>
  <c r="H51"/>
  <c r="R51"/>
  <c r="T51" s="1"/>
  <c r="V51"/>
  <c r="G52"/>
  <c r="I52" s="1"/>
  <c r="J52" s="1"/>
  <c r="L52" s="1"/>
  <c r="S52"/>
  <c r="U52" s="1"/>
  <c r="F53"/>
  <c r="H53"/>
  <c r="R53"/>
  <c r="T53" s="1"/>
  <c r="V53"/>
  <c r="G54"/>
  <c r="S54"/>
  <c r="U54" s="1"/>
  <c r="F55"/>
  <c r="H55"/>
  <c r="I55" s="1"/>
  <c r="K55" s="1"/>
  <c r="M55" s="1"/>
  <c r="R55"/>
  <c r="T55" s="1"/>
  <c r="V55"/>
  <c r="G49"/>
  <c r="I49" s="1"/>
  <c r="K49" s="1"/>
  <c r="M49" s="1"/>
  <c r="S49"/>
  <c r="W49" s="1"/>
  <c r="U49"/>
  <c r="F50"/>
  <c r="H50"/>
  <c r="R50"/>
  <c r="X50" s="1"/>
  <c r="T50"/>
  <c r="V50"/>
  <c r="G51"/>
  <c r="I51" s="1"/>
  <c r="K51" s="1"/>
  <c r="M51" s="1"/>
  <c r="S51"/>
  <c r="W51" s="1"/>
  <c r="U51"/>
  <c r="F52"/>
  <c r="H52"/>
  <c r="R52"/>
  <c r="X52" s="1"/>
  <c r="V52"/>
  <c r="G53"/>
  <c r="I53" s="1"/>
  <c r="K53" s="1"/>
  <c r="M53" s="1"/>
  <c r="S53"/>
  <c r="W53" s="1"/>
  <c r="U53"/>
  <c r="F54"/>
  <c r="H54"/>
  <c r="I54" s="1"/>
  <c r="J54" s="1"/>
  <c r="L54" s="1"/>
  <c r="R54"/>
  <c r="X54" s="1"/>
  <c r="V54"/>
  <c r="G55"/>
  <c r="S55"/>
  <c r="W55" s="1"/>
  <c r="S40"/>
  <c r="W40" s="1"/>
  <c r="S42"/>
  <c r="U42" s="1"/>
  <c r="S44"/>
  <c r="U44" s="1"/>
  <c r="K45"/>
  <c r="M45" s="1"/>
  <c r="H45"/>
  <c r="I45" s="1"/>
  <c r="J45" s="1"/>
  <c r="L45" s="1"/>
  <c r="U40"/>
  <c r="W44"/>
  <c r="R39"/>
  <c r="T39" s="1"/>
  <c r="V39"/>
  <c r="G40"/>
  <c r="I40" s="1"/>
  <c r="J40" s="1"/>
  <c r="L40" s="1"/>
  <c r="R41"/>
  <c r="T41" s="1"/>
  <c r="V41"/>
  <c r="X41"/>
  <c r="G42"/>
  <c r="I42" s="1"/>
  <c r="J42" s="1"/>
  <c r="L42" s="1"/>
  <c r="R43"/>
  <c r="T43" s="1"/>
  <c r="V43"/>
  <c r="G44"/>
  <c r="R45"/>
  <c r="T45" s="1"/>
  <c r="V45"/>
  <c r="G39"/>
  <c r="I39" s="1"/>
  <c r="J39" s="1"/>
  <c r="L39" s="1"/>
  <c r="S39"/>
  <c r="W39" s="1"/>
  <c r="F40"/>
  <c r="H40"/>
  <c r="R40"/>
  <c r="X40" s="1"/>
  <c r="V40"/>
  <c r="G41"/>
  <c r="I41" s="1"/>
  <c r="J41" s="1"/>
  <c r="L41" s="1"/>
  <c r="S41"/>
  <c r="W41" s="1"/>
  <c r="F42"/>
  <c r="H42"/>
  <c r="R42"/>
  <c r="X42" s="1"/>
  <c r="V42"/>
  <c r="G43"/>
  <c r="I43" s="1"/>
  <c r="J43" s="1"/>
  <c r="L43" s="1"/>
  <c r="S43"/>
  <c r="U43" s="1"/>
  <c r="F44"/>
  <c r="H44"/>
  <c r="I44" s="1"/>
  <c r="J44" s="1"/>
  <c r="L44" s="1"/>
  <c r="R44"/>
  <c r="X44" s="1"/>
  <c r="V44"/>
  <c r="G45"/>
  <c r="S45"/>
  <c r="U45" s="1"/>
  <c r="S31"/>
  <c r="S20"/>
  <c r="U20" s="1"/>
  <c r="W31"/>
  <c r="F31"/>
  <c r="H31"/>
  <c r="R31"/>
  <c r="T31" s="1"/>
  <c r="V31"/>
  <c r="G31"/>
  <c r="I31" s="1"/>
  <c r="K31" s="1"/>
  <c r="M31" s="1"/>
  <c r="U31"/>
  <c r="W20"/>
  <c r="F20"/>
  <c r="H20"/>
  <c r="R20"/>
  <c r="X20" s="1"/>
  <c r="V20"/>
  <c r="G20"/>
  <c r="I20" s="1"/>
  <c r="K20" s="1"/>
  <c r="M20" s="1"/>
  <c r="S9"/>
  <c r="W9" s="1"/>
  <c r="F9"/>
  <c r="H9"/>
  <c r="R9"/>
  <c r="X9" s="1"/>
  <c r="V9"/>
  <c r="G9"/>
  <c r="I9" s="1"/>
  <c r="K9" s="1"/>
  <c r="M9" s="1"/>
  <c r="H29"/>
  <c r="S28"/>
  <c r="W28" s="1"/>
  <c r="R29"/>
  <c r="T29" s="1"/>
  <c r="V29"/>
  <c r="G28"/>
  <c r="I28" s="1"/>
  <c r="J28" s="1"/>
  <c r="L28" s="1"/>
  <c r="F28"/>
  <c r="H28"/>
  <c r="R28"/>
  <c r="X28" s="1"/>
  <c r="V28"/>
  <c r="G29"/>
  <c r="I29" s="1"/>
  <c r="J29" s="1"/>
  <c r="L29" s="1"/>
  <c r="S29"/>
  <c r="W29" s="1"/>
  <c r="S32"/>
  <c r="U32" s="1"/>
  <c r="G17"/>
  <c r="I17" s="1"/>
  <c r="J17" s="1"/>
  <c r="L17" s="1"/>
  <c r="S17"/>
  <c r="U17" s="1"/>
  <c r="F18"/>
  <c r="H18"/>
  <c r="R18"/>
  <c r="T18" s="1"/>
  <c r="V18"/>
  <c r="G19"/>
  <c r="I19" s="1"/>
  <c r="K19" s="1"/>
  <c r="M19" s="1"/>
  <c r="S19"/>
  <c r="U19" s="1"/>
  <c r="F21"/>
  <c r="H21"/>
  <c r="R21"/>
  <c r="T21" s="1"/>
  <c r="V21"/>
  <c r="G22"/>
  <c r="S22"/>
  <c r="U22" s="1"/>
  <c r="F23"/>
  <c r="H23"/>
  <c r="I23" s="1"/>
  <c r="K23" s="1"/>
  <c r="M23" s="1"/>
  <c r="R23"/>
  <c r="T23" s="1"/>
  <c r="V23"/>
  <c r="F17"/>
  <c r="H17"/>
  <c r="R17"/>
  <c r="T17" s="1"/>
  <c r="V17"/>
  <c r="G18"/>
  <c r="I18" s="1"/>
  <c r="K18" s="1"/>
  <c r="M18" s="1"/>
  <c r="S18"/>
  <c r="W18" s="1"/>
  <c r="F19"/>
  <c r="H19"/>
  <c r="R19"/>
  <c r="T19" s="1"/>
  <c r="V19"/>
  <c r="G21"/>
  <c r="I21" s="1"/>
  <c r="K21" s="1"/>
  <c r="M21" s="1"/>
  <c r="S21"/>
  <c r="W21" s="1"/>
  <c r="F22"/>
  <c r="H22"/>
  <c r="I22" s="1"/>
  <c r="K22" s="1"/>
  <c r="M22" s="1"/>
  <c r="R22"/>
  <c r="T22" s="1"/>
  <c r="V22"/>
  <c r="G23"/>
  <c r="S23"/>
  <c r="W23" s="1"/>
  <c r="F8"/>
  <c r="H30"/>
  <c r="H33"/>
  <c r="I33" s="1"/>
  <c r="J33" s="1"/>
  <c r="L33" s="1"/>
  <c r="F33"/>
  <c r="S10"/>
  <c r="U10" s="1"/>
  <c r="H11"/>
  <c r="I11" s="1"/>
  <c r="J11" s="1"/>
  <c r="L11" s="1"/>
  <c r="S12"/>
  <c r="U12" s="1"/>
  <c r="S7"/>
  <c r="U7" s="1"/>
  <c r="S6"/>
  <c r="U6" s="1"/>
  <c r="G6"/>
  <c r="I6" s="1"/>
  <c r="J6" s="1"/>
  <c r="L6" s="1"/>
  <c r="F6"/>
  <c r="H6"/>
  <c r="R6"/>
  <c r="X6" s="1"/>
  <c r="V6"/>
  <c r="G7"/>
  <c r="I7" s="1"/>
  <c r="J7" s="1"/>
  <c r="L7" s="1"/>
  <c r="F7"/>
  <c r="H7"/>
  <c r="R7"/>
  <c r="X7" s="1"/>
  <c r="V7"/>
  <c r="X32"/>
  <c r="G8"/>
  <c r="I8" s="1"/>
  <c r="J8" s="1"/>
  <c r="L8" s="1"/>
  <c r="S8"/>
  <c r="W8" s="1"/>
  <c r="F10"/>
  <c r="H10"/>
  <c r="R10"/>
  <c r="X10" s="1"/>
  <c r="V10"/>
  <c r="G11"/>
  <c r="S11"/>
  <c r="W11" s="1"/>
  <c r="F12"/>
  <c r="H12"/>
  <c r="I12" s="1"/>
  <c r="K12" s="1"/>
  <c r="M12" s="1"/>
  <c r="R12"/>
  <c r="X12" s="1"/>
  <c r="V12"/>
  <c r="G30"/>
  <c r="I30" s="1"/>
  <c r="J30" s="1"/>
  <c r="L30" s="1"/>
  <c r="S30"/>
  <c r="X30" s="1"/>
  <c r="F32"/>
  <c r="H32"/>
  <c r="R32"/>
  <c r="W32" s="1"/>
  <c r="V32"/>
  <c r="G33"/>
  <c r="S33"/>
  <c r="X33" s="1"/>
  <c r="F34"/>
  <c r="H34"/>
  <c r="I34" s="1"/>
  <c r="K34" s="1"/>
  <c r="M34" s="1"/>
  <c r="R34"/>
  <c r="W34" s="1"/>
  <c r="V34"/>
  <c r="R8"/>
  <c r="X8" s="1"/>
  <c r="V8"/>
  <c r="G10"/>
  <c r="I10" s="1"/>
  <c r="K10" s="1"/>
  <c r="M10" s="1"/>
  <c r="R11"/>
  <c r="T11" s="1"/>
  <c r="V11"/>
  <c r="G12"/>
  <c r="R30"/>
  <c r="T30" s="1"/>
  <c r="V30"/>
  <c r="G32"/>
  <c r="I32" s="1"/>
  <c r="K32" s="1"/>
  <c r="M32" s="1"/>
  <c r="R33"/>
  <c r="T33" s="1"/>
  <c r="V33"/>
  <c r="G34"/>
  <c r="S34"/>
  <c r="X34" s="1"/>
  <c r="U55" l="1"/>
  <c r="T54"/>
  <c r="W54"/>
  <c r="T52"/>
  <c r="W52"/>
  <c r="W50"/>
  <c r="W42"/>
  <c r="X55"/>
  <c r="J55"/>
  <c r="L55" s="1"/>
  <c r="K54"/>
  <c r="M54" s="1"/>
  <c r="X53"/>
  <c r="J53"/>
  <c r="L53" s="1"/>
  <c r="K52"/>
  <c r="M52" s="1"/>
  <c r="X51"/>
  <c r="J51"/>
  <c r="L51" s="1"/>
  <c r="K50"/>
  <c r="M50" s="1"/>
  <c r="X49"/>
  <c r="J49"/>
  <c r="L49" s="1"/>
  <c r="U41"/>
  <c r="T40"/>
  <c r="U39"/>
  <c r="K40"/>
  <c r="M40" s="1"/>
  <c r="X39"/>
  <c r="X45"/>
  <c r="K44"/>
  <c r="M44" s="1"/>
  <c r="X43"/>
  <c r="K42"/>
  <c r="M42" s="1"/>
  <c r="W45"/>
  <c r="W43"/>
  <c r="K43"/>
  <c r="M43" s="1"/>
  <c r="K41"/>
  <c r="M41" s="1"/>
  <c r="K39"/>
  <c r="M39" s="1"/>
  <c r="T44"/>
  <c r="T42"/>
  <c r="U28"/>
  <c r="U9"/>
  <c r="X11"/>
  <c r="W6"/>
  <c r="W12"/>
  <c r="W10"/>
  <c r="W7"/>
  <c r="X31"/>
  <c r="J31"/>
  <c r="L31" s="1"/>
  <c r="T20"/>
  <c r="J20"/>
  <c r="L20" s="1"/>
  <c r="T9"/>
  <c r="J9"/>
  <c r="L9" s="1"/>
  <c r="U29"/>
  <c r="X29"/>
  <c r="T28"/>
  <c r="K28"/>
  <c r="M28" s="1"/>
  <c r="K29"/>
  <c r="M29" s="1"/>
  <c r="W22"/>
  <c r="W17"/>
  <c r="K17"/>
  <c r="M17" s="1"/>
  <c r="W19"/>
  <c r="X22"/>
  <c r="X19"/>
  <c r="X17"/>
  <c r="J22"/>
  <c r="L22" s="1"/>
  <c r="J19"/>
  <c r="L19" s="1"/>
  <c r="U23"/>
  <c r="U21"/>
  <c r="U18"/>
  <c r="X23"/>
  <c r="J23"/>
  <c r="L23" s="1"/>
  <c r="X21"/>
  <c r="J21"/>
  <c r="L21" s="1"/>
  <c r="X18"/>
  <c r="J18"/>
  <c r="L18" s="1"/>
  <c r="K11"/>
  <c r="M11" s="1"/>
  <c r="K33"/>
  <c r="M33" s="1"/>
  <c r="T6"/>
  <c r="K6"/>
  <c r="M6" s="1"/>
  <c r="T7"/>
  <c r="K7"/>
  <c r="M7" s="1"/>
  <c r="W33"/>
  <c r="W30"/>
  <c r="U34"/>
  <c r="T8"/>
  <c r="T34"/>
  <c r="J34"/>
  <c r="L34" s="1"/>
  <c r="U33"/>
  <c r="T32"/>
  <c r="J32"/>
  <c r="L32" s="1"/>
  <c r="U30"/>
  <c r="T12"/>
  <c r="J12"/>
  <c r="L12" s="1"/>
  <c r="U11"/>
  <c r="T10"/>
  <c r="J10"/>
  <c r="L10" s="1"/>
  <c r="U8"/>
  <c r="K30"/>
  <c r="M30" s="1"/>
  <c r="K8"/>
  <c r="M8" s="1"/>
</calcChain>
</file>

<file path=xl/sharedStrings.xml><?xml version="1.0" encoding="utf-8"?>
<sst xmlns="http://schemas.openxmlformats.org/spreadsheetml/2006/main" count="172" uniqueCount="56">
  <si>
    <t>Return loss</t>
  </si>
  <si>
    <t>Frq</t>
  </si>
  <si>
    <t>SWR</t>
  </si>
  <si>
    <t>Gamma</t>
  </si>
  <si>
    <t>Z</t>
  </si>
  <si>
    <t>AH-06N terminated</t>
  </si>
  <si>
    <t>RL</t>
  </si>
  <si>
    <t>E+</t>
  </si>
  <si>
    <t>E-</t>
  </si>
  <si>
    <t>SWR+</t>
  </si>
  <si>
    <t>SWR-</t>
  </si>
  <si>
    <t>RL min</t>
  </si>
  <si>
    <t>RL max</t>
  </si>
  <si>
    <t>Narda 5082</t>
  </si>
  <si>
    <t>Ser 02123</t>
  </si>
  <si>
    <t>Gamma unc</t>
  </si>
  <si>
    <t>Assumed</t>
  </si>
  <si>
    <t>G-</t>
  </si>
  <si>
    <t>G+</t>
  </si>
  <si>
    <t>2-8 ghz</t>
  </si>
  <si>
    <t>8-18 ghz</t>
  </si>
  <si>
    <t>GHz</t>
  </si>
  <si>
    <t>Directivity as stated</t>
  </si>
  <si>
    <t>Insertion Loss measured 2014-08-24</t>
  </si>
  <si>
    <t>Directivity</t>
  </si>
  <si>
    <t>Loss</t>
  </si>
  <si>
    <r>
      <t>= 0,0002x</t>
    </r>
    <r>
      <rPr>
        <vertAlign val="superscript"/>
        <sz val="10"/>
        <color rgb="FF000000"/>
        <rFont val="Calibri"/>
        <family val="2"/>
        <scheme val="minor"/>
      </rPr>
      <t>4</t>
    </r>
    <r>
      <rPr>
        <sz val="10"/>
        <color rgb="FF000000"/>
        <rFont val="Calibri"/>
        <family val="2"/>
        <scheme val="minor"/>
      </rPr>
      <t xml:space="preserve"> - 0,0068x</t>
    </r>
    <r>
      <rPr>
        <vertAlign val="super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 xml:space="preserve"> + 0,074x</t>
    </r>
    <r>
      <rPr>
        <vertAlign val="superscript"/>
        <sz val="10"/>
        <color rgb="FF000000"/>
        <rFont val="Calibri"/>
        <family val="2"/>
        <scheme val="minor"/>
      </rPr>
      <t>2</t>
    </r>
    <r>
      <rPr>
        <sz val="10"/>
        <color rgb="FF000000"/>
        <rFont val="Calibri"/>
        <family val="2"/>
        <scheme val="minor"/>
      </rPr>
      <t xml:space="preserve"> - 0,2967x + 6,8763 </t>
    </r>
  </si>
  <si>
    <t>Coefficients</t>
  </si>
  <si>
    <t>y = a + bx + cx^2 + dx^3 + fx^4</t>
  </si>
  <si>
    <t>Fitting target of lowest sum of squared absolute error = 1.1265514452214542E-01</t>
  </si>
  <si>
    <t>a = 6.8763333333341174E+00</t>
  </si>
  <si>
    <t>b = -2.9665947940942844E-01</t>
  </si>
  <si>
    <t>c = 7.3987543706246273E-02</t>
  </si>
  <si>
    <t>d = -6.8091249028741745E-03</t>
  </si>
  <si>
    <t>f = 2.1403336247094451E-04</t>
  </si>
  <si>
    <t>Uncertainty as suggested by Narda Datasheet</t>
  </si>
  <si>
    <t>Huber+Suhner 6 GHz rated 50 ohm N</t>
  </si>
  <si>
    <t>Midwest Microwave 18 Ghz rated Model 2070 50 ohm N</t>
  </si>
  <si>
    <t>Insertion L</t>
  </si>
  <si>
    <t>SWR 1.25 max to 18 GHz - Midwest Spec</t>
  </si>
  <si>
    <t>SWR 1.35, to 12.4 ghz, SWR 1.5, to 18 ghz - Spec ah-06n</t>
  </si>
  <si>
    <t>Huber+Suhner 6 GHz rated N</t>
  </si>
  <si>
    <t>Aeroflex 18 Ghz rated 6 dB Atten AH-06N terminated</t>
  </si>
  <si>
    <t>SWR max. 1.05 at 1 GHz, 1.10 at 4 GHz, 1.20 at 6 GHz (H+S Spec)</t>
  </si>
  <si>
    <t>Frq/GHz</t>
  </si>
  <si>
    <t>H+S</t>
  </si>
  <si>
    <t>Midw</t>
  </si>
  <si>
    <t>Aero6dB</t>
  </si>
  <si>
    <t>BNC-2</t>
  </si>
  <si>
    <t>BNC-1</t>
  </si>
  <si>
    <t>BNC-1 Termination (with N to BNC adapter)</t>
  </si>
  <si>
    <t>BNC-2 Termination (with N to BNC adapter)</t>
  </si>
  <si>
    <t>Calculated</t>
  </si>
  <si>
    <t>PWR through</t>
  </si>
  <si>
    <t>PWR bridge</t>
  </si>
  <si>
    <t>Insertion Loss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</si>
</sst>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0"/>
      <color rgb="FF000000"/>
      <name val="Calibri"/>
      <family val="2"/>
      <scheme val="minor"/>
    </font>
    <font>
      <sz val="8"/>
      <color theme="1"/>
      <name val="Courier New"/>
      <family val="3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2" fontId="0" fillId="0" borderId="0" xfId="0" applyNumberFormat="1"/>
    <xf numFmtId="165" fontId="0" fillId="0" borderId="0" xfId="0" applyNumberFormat="1"/>
    <xf numFmtId="2" fontId="0" fillId="0" borderId="1" xfId="0" applyNumberFormat="1" applyBorder="1"/>
    <xf numFmtId="164" fontId="0" fillId="0" borderId="1" xfId="0" applyNumberFormat="1" applyBorder="1"/>
    <xf numFmtId="0" fontId="0" fillId="0" borderId="1" xfId="0" applyBorder="1"/>
    <xf numFmtId="0" fontId="2" fillId="0" borderId="0" xfId="0" applyFont="1" applyAlignment="1">
      <alignment horizontal="center" readingOrder="1"/>
    </xf>
    <xf numFmtId="0" fontId="4" fillId="0" borderId="0" xfId="0" applyFont="1"/>
    <xf numFmtId="164" fontId="1" fillId="0" borderId="2" xfId="0" applyNumberFormat="1" applyFont="1" applyBorder="1"/>
    <xf numFmtId="0" fontId="0" fillId="0" borderId="3" xfId="0" applyBorder="1"/>
    <xf numFmtId="164" fontId="1" fillId="0" borderId="4" xfId="0" applyNumberFormat="1" applyFont="1" applyBorder="1"/>
    <xf numFmtId="0" fontId="0" fillId="0" borderId="5" xfId="0" applyBorder="1"/>
    <xf numFmtId="164" fontId="1" fillId="0" borderId="6" xfId="0" applyNumberFormat="1" applyFont="1" applyBorder="1"/>
    <xf numFmtId="164" fontId="1" fillId="0" borderId="7" xfId="0" applyNumberFormat="1" applyFont="1" applyBorder="1"/>
    <xf numFmtId="0" fontId="0" fillId="0" borderId="8" xfId="0" applyBorder="1"/>
    <xf numFmtId="164" fontId="1" fillId="0" borderId="9" xfId="0" applyNumberFormat="1" applyFont="1" applyBorder="1"/>
    <xf numFmtId="164" fontId="1" fillId="0" borderId="10" xfId="0" applyNumberFormat="1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>
        <c:manualLayout>
          <c:layoutTarget val="inner"/>
          <c:xMode val="edge"/>
          <c:yMode val="edge"/>
          <c:x val="0.10708573928258976"/>
          <c:y val="0.19480351414406533"/>
          <c:w val="0.77910323709536355"/>
          <c:h val="0.6892166083406237"/>
        </c:manualLayout>
      </c:layout>
      <c:scatterChart>
        <c:scatterStyle val="lineMarker"/>
        <c:ser>
          <c:idx val="0"/>
          <c:order val="0"/>
          <c:tx>
            <c:strRef>
              <c:f>Summary!$D$5</c:f>
              <c:strCache>
                <c:ptCount val="1"/>
                <c:pt idx="0">
                  <c:v>SWR</c:v>
                </c:pt>
              </c:strCache>
            </c:strRef>
          </c:tx>
          <c:spPr>
            <a:ln w="28575">
              <a:noFill/>
            </a:ln>
          </c:spPr>
          <c:xVal>
            <c:numRef>
              <c:f>Summary!$B$8:$B$12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</c:numCache>
            </c:numRef>
          </c:xVal>
          <c:yVal>
            <c:numRef>
              <c:f>Summary!$D$8:$D$12</c:f>
              <c:numCache>
                <c:formatCode>0.000</c:formatCode>
                <c:ptCount val="5"/>
                <c:pt idx="0">
                  <c:v>1.0657550047702644</c:v>
                </c:pt>
                <c:pt idx="1">
                  <c:v>1.1278312960620236</c:v>
                </c:pt>
                <c:pt idx="2">
                  <c:v>1.097264229240265</c:v>
                </c:pt>
                <c:pt idx="3">
                  <c:v>1.6234898508514541</c:v>
                </c:pt>
                <c:pt idx="4">
                  <c:v>2.0483813846322256</c:v>
                </c:pt>
              </c:numCache>
            </c:numRef>
          </c:yVal>
        </c:ser>
        <c:axId val="101234176"/>
        <c:axId val="101235712"/>
      </c:scatterChart>
      <c:valAx>
        <c:axId val="101234176"/>
        <c:scaling>
          <c:orientation val="minMax"/>
        </c:scaling>
        <c:axPos val="b"/>
        <c:numFmt formatCode="General" sourceLinked="1"/>
        <c:tickLblPos val="nextTo"/>
        <c:crossAx val="101235712"/>
        <c:crosses val="autoZero"/>
        <c:crossBetween val="midCat"/>
      </c:valAx>
      <c:valAx>
        <c:axId val="101235712"/>
        <c:scaling>
          <c:orientation val="minMax"/>
          <c:min val="1"/>
        </c:scaling>
        <c:axPos val="l"/>
        <c:majorGridlines/>
        <c:numFmt formatCode="0.00" sourceLinked="0"/>
        <c:tickLblPos val="nextTo"/>
        <c:crossAx val="101234176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919319772528437"/>
          <c:y val="3.9102143482064783E-2"/>
          <c:w val="9.9734689413823296E-2"/>
          <c:h val="8.3717191601049915E-2"/>
        </c:manualLayout>
      </c:layout>
    </c:legend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title>
      <c:layout/>
    </c:title>
    <c:plotArea>
      <c:layout>
        <c:manualLayout>
          <c:layoutTarget val="inner"/>
          <c:xMode val="edge"/>
          <c:yMode val="edge"/>
          <c:x val="7.1988407699037624E-2"/>
          <c:y val="0.19480351414406533"/>
          <c:w val="0.80731167979002627"/>
          <c:h val="0.6892166083406237"/>
        </c:manualLayout>
      </c:layout>
      <c:scatterChart>
        <c:scatterStyle val="lineMarker"/>
        <c:ser>
          <c:idx val="0"/>
          <c:order val="0"/>
          <c:tx>
            <c:strRef>
              <c:f>Summary!$C$5</c:f>
              <c:strCache>
                <c:ptCount val="1"/>
                <c:pt idx="0">
                  <c:v>Return loss</c:v>
                </c:pt>
              </c:strCache>
            </c:strRef>
          </c:tx>
          <c:spPr>
            <a:ln w="28575">
              <a:noFill/>
            </a:ln>
          </c:spPr>
          <c:xVal>
            <c:numRef>
              <c:f>Summary!$B$8:$B$12</c:f>
              <c:numCache>
                <c:formatCode>General</c:formatCode>
                <c:ptCount val="5"/>
                <c:pt idx="0">
                  <c:v>6</c:v>
                </c:pt>
                <c:pt idx="1">
                  <c:v>8</c:v>
                </c:pt>
                <c:pt idx="2">
                  <c:v>12</c:v>
                </c:pt>
                <c:pt idx="3">
                  <c:v>15</c:v>
                </c:pt>
                <c:pt idx="4">
                  <c:v>18</c:v>
                </c:pt>
              </c:numCache>
            </c:numRef>
          </c:xVal>
          <c:yVal>
            <c:numRef>
              <c:f>Summary!$C$8:$C$12</c:f>
              <c:numCache>
                <c:formatCode>0.000</c:formatCode>
                <c:ptCount val="5"/>
                <c:pt idx="0">
                  <c:v>29.943000000000001</c:v>
                </c:pt>
                <c:pt idx="1">
                  <c:v>24.425999999999998</c:v>
                </c:pt>
                <c:pt idx="2">
                  <c:v>26.673999999999999</c:v>
                </c:pt>
                <c:pt idx="3">
                  <c:v>12.481</c:v>
                </c:pt>
                <c:pt idx="4">
                  <c:v>9.2710000000000008</c:v>
                </c:pt>
              </c:numCache>
            </c:numRef>
          </c:yVal>
        </c:ser>
        <c:axId val="120433280"/>
        <c:axId val="120451456"/>
      </c:scatterChart>
      <c:valAx>
        <c:axId val="120433280"/>
        <c:scaling>
          <c:orientation val="minMax"/>
        </c:scaling>
        <c:axPos val="b"/>
        <c:numFmt formatCode="General" sourceLinked="1"/>
        <c:tickLblPos val="nextTo"/>
        <c:crossAx val="120451456"/>
        <c:crosses val="autoZero"/>
        <c:crossBetween val="midCat"/>
      </c:valAx>
      <c:valAx>
        <c:axId val="120451456"/>
        <c:scaling>
          <c:orientation val="minMax"/>
        </c:scaling>
        <c:axPos val="l"/>
        <c:majorGridlines/>
        <c:numFmt formatCode="0.000" sourceLinked="1"/>
        <c:tickLblPos val="nextTo"/>
        <c:crossAx val="120433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7948753280839933"/>
          <c:y val="5.2991032370953664E-2"/>
          <c:w val="0.17329024496937892"/>
          <c:h val="8.3717191601049915E-2"/>
        </c:manualLayout>
      </c:layout>
    </c:legend>
    <c:plotVisOnly val="1"/>
  </c:chart>
  <c:printSettings>
    <c:headerFooter/>
    <c:pageMargins b="0.78740157499999996" l="0.70000000000000051" r="0.70000000000000051" t="0.7874015749999999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'Directivity and Loss (Narda)'!$B$5:$B$13</c:f>
              <c:numCache>
                <c:formatCode>General</c:formatCode>
                <c:ptCount val="9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</c:numCache>
            </c:numRef>
          </c:xVal>
          <c:yVal>
            <c:numRef>
              <c:f>'Directivity and Loss (Narda)'!$C$5:$C$13</c:f>
              <c:numCache>
                <c:formatCode>General</c:formatCode>
                <c:ptCount val="9"/>
                <c:pt idx="0">
                  <c:v>38</c:v>
                </c:pt>
                <c:pt idx="1">
                  <c:v>38.5</c:v>
                </c:pt>
                <c:pt idx="2">
                  <c:v>37</c:v>
                </c:pt>
                <c:pt idx="3">
                  <c:v>38.5</c:v>
                </c:pt>
                <c:pt idx="4">
                  <c:v>36</c:v>
                </c:pt>
                <c:pt idx="5">
                  <c:v>38</c:v>
                </c:pt>
                <c:pt idx="6">
                  <c:v>40</c:v>
                </c:pt>
                <c:pt idx="7">
                  <c:v>35.5</c:v>
                </c:pt>
                <c:pt idx="8">
                  <c:v>36.5</c:v>
                </c:pt>
              </c:numCache>
            </c:numRef>
          </c:yVal>
        </c:ser>
        <c:axId val="120529280"/>
        <c:axId val="120530816"/>
      </c:scatterChart>
      <c:valAx>
        <c:axId val="120529280"/>
        <c:scaling>
          <c:orientation val="minMax"/>
        </c:scaling>
        <c:axPos val="b"/>
        <c:numFmt formatCode="General" sourceLinked="1"/>
        <c:tickLblPos val="nextTo"/>
        <c:crossAx val="120530816"/>
        <c:crosses val="autoZero"/>
        <c:crossBetween val="midCat"/>
      </c:valAx>
      <c:valAx>
        <c:axId val="120530816"/>
        <c:scaling>
          <c:orientation val="minMax"/>
        </c:scaling>
        <c:axPos val="l"/>
        <c:majorGridlines/>
        <c:numFmt formatCode="General" sourceLinked="1"/>
        <c:tickLblPos val="nextTo"/>
        <c:crossAx val="120529280"/>
        <c:crosses val="autoZero"/>
        <c:crossBetween val="midCat"/>
      </c:valAx>
    </c:plotArea>
    <c:plotVisOnly val="1"/>
  </c:chart>
  <c:printSettings>
    <c:headerFooter/>
    <c:pageMargins b="0.78740157499999996" l="0.70000000000000007" r="0.70000000000000007" t="0.78740157499999996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poly"/>
            <c:order val="4"/>
            <c:dispEq val="1"/>
            <c:trendlineLbl>
              <c:layout>
                <c:manualLayout>
                  <c:x val="-0.13284405074365702"/>
                  <c:y val="-1.4666083406240886E-2"/>
                </c:manualLayout>
              </c:layout>
              <c:numFmt formatCode="General" sourceLinked="0"/>
            </c:trendlineLbl>
          </c:trendline>
          <c:xVal>
            <c:numRef>
              <c:f>'Directivity and Loss (Narda)'!$B$18:$B$26</c:f>
              <c:numCache>
                <c:formatCode>General</c:formatCode>
                <c:ptCount val="9"/>
                <c:pt idx="0">
                  <c:v>18</c:v>
                </c:pt>
                <c:pt idx="1">
                  <c:v>16</c:v>
                </c:pt>
                <c:pt idx="2">
                  <c:v>14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</c:numCache>
            </c:numRef>
          </c:xVal>
          <c:yVal>
            <c:numRef>
              <c:f>'Directivity and Loss (Narda)'!$E$18:$E$26</c:f>
              <c:numCache>
                <c:formatCode>General</c:formatCode>
                <c:ptCount val="9"/>
                <c:pt idx="0">
                  <c:v>8.2889999999999997</c:v>
                </c:pt>
                <c:pt idx="1">
                  <c:v>7.093</c:v>
                </c:pt>
                <c:pt idx="2">
                  <c:v>6.9530000000000003</c:v>
                </c:pt>
                <c:pt idx="3">
                  <c:v>6.5830000000000002</c:v>
                </c:pt>
                <c:pt idx="4">
                  <c:v>6.4729999999999999</c:v>
                </c:pt>
                <c:pt idx="5">
                  <c:v>6.798</c:v>
                </c:pt>
                <c:pt idx="6">
                  <c:v>6.5570000000000004</c:v>
                </c:pt>
                <c:pt idx="7">
                  <c:v>6.4430000000000005</c:v>
                </c:pt>
                <c:pt idx="8">
                  <c:v>6.5449999999999999</c:v>
                </c:pt>
              </c:numCache>
            </c:numRef>
          </c:yVal>
        </c:ser>
        <c:axId val="120559104"/>
        <c:axId val="120560640"/>
      </c:scatterChart>
      <c:valAx>
        <c:axId val="120559104"/>
        <c:scaling>
          <c:orientation val="minMax"/>
        </c:scaling>
        <c:axPos val="b"/>
        <c:numFmt formatCode="General" sourceLinked="1"/>
        <c:tickLblPos val="nextTo"/>
        <c:crossAx val="120560640"/>
        <c:crosses val="autoZero"/>
        <c:crossBetween val="midCat"/>
      </c:valAx>
      <c:valAx>
        <c:axId val="120560640"/>
        <c:scaling>
          <c:orientation val="minMax"/>
        </c:scaling>
        <c:axPos val="l"/>
        <c:majorGridlines/>
        <c:numFmt formatCode="General" sourceLinked="1"/>
        <c:tickLblPos val="nextTo"/>
        <c:crossAx val="120559104"/>
        <c:crosses val="autoZero"/>
        <c:crossBetween val="midCat"/>
      </c:valAx>
    </c:plotArea>
    <c:plotVisOnly val="1"/>
  </c:chart>
  <c:printSettings>
    <c:headerFooter/>
    <c:pageMargins b="0.78740157499999996" l="0.70000000000000029" r="0.70000000000000029" t="0.78740157499999996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Diagrams!$B$5</c:f>
              <c:strCache>
                <c:ptCount val="1"/>
                <c:pt idx="0">
                  <c:v>H+S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Diagrams!$B$6:$B$12</c:f>
              <c:numCache>
                <c:formatCode>0.000</c:formatCode>
                <c:ptCount val="7"/>
                <c:pt idx="0">
                  <c:v>1.0201550886083601</c:v>
                </c:pt>
                <c:pt idx="1">
                  <c:v>1.0505200796339929</c:v>
                </c:pt>
                <c:pt idx="2">
                  <c:v>1.0657550047702644</c:v>
                </c:pt>
                <c:pt idx="3">
                  <c:v>1.1278312960620236</c:v>
                </c:pt>
                <c:pt idx="4">
                  <c:v>1.097264229240265</c:v>
                </c:pt>
                <c:pt idx="5">
                  <c:v>1.6234898508514541</c:v>
                </c:pt>
                <c:pt idx="6">
                  <c:v>2.0483813846322256</c:v>
                </c:pt>
              </c:numCache>
            </c:numRef>
          </c:yVal>
        </c:ser>
        <c:ser>
          <c:idx val="1"/>
          <c:order val="1"/>
          <c:tx>
            <c:strRef>
              <c:f>Diagrams!$C$5</c:f>
              <c:strCache>
                <c:ptCount val="1"/>
                <c:pt idx="0">
                  <c:v>Midw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Diagrams!$C$6:$C$12</c:f>
              <c:numCache>
                <c:formatCode>0.000</c:formatCode>
                <c:ptCount val="7"/>
                <c:pt idx="0">
                  <c:v>1.0142896609214207</c:v>
                </c:pt>
                <c:pt idx="1">
                  <c:v>1.065373012420914</c:v>
                </c:pt>
                <c:pt idx="2">
                  <c:v>1.0786279142208235</c:v>
                </c:pt>
                <c:pt idx="3">
                  <c:v>1.0365720906754821</c:v>
                </c:pt>
                <c:pt idx="4">
                  <c:v>1.1175961600831807</c:v>
                </c:pt>
                <c:pt idx="5">
                  <c:v>1.0701540360596424</c:v>
                </c:pt>
                <c:pt idx="6">
                  <c:v>1.1167820640846478</c:v>
                </c:pt>
              </c:numCache>
            </c:numRef>
          </c:yVal>
        </c:ser>
        <c:ser>
          <c:idx val="2"/>
          <c:order val="2"/>
          <c:tx>
            <c:strRef>
              <c:f>Diagrams!$D$5</c:f>
              <c:strCache>
                <c:ptCount val="1"/>
                <c:pt idx="0">
                  <c:v>Aero6dB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Diagrams!$D$6:$D$12</c:f>
              <c:numCache>
                <c:formatCode>0.000</c:formatCode>
                <c:ptCount val="7"/>
                <c:pt idx="0">
                  <c:v>1.0425423093523314</c:v>
                </c:pt>
                <c:pt idx="1">
                  <c:v>1.0853039959221453</c:v>
                </c:pt>
                <c:pt idx="2">
                  <c:v>1.139753862258656</c:v>
                </c:pt>
                <c:pt idx="3">
                  <c:v>1.1643531878148918</c:v>
                </c:pt>
                <c:pt idx="4">
                  <c:v>1.2058631248208551</c:v>
                </c:pt>
                <c:pt idx="5">
                  <c:v>1.2957498746864371</c:v>
                </c:pt>
                <c:pt idx="6">
                  <c:v>1.4325808425575166</c:v>
                </c:pt>
              </c:numCache>
            </c:numRef>
          </c:yVal>
        </c:ser>
        <c:ser>
          <c:idx val="3"/>
          <c:order val="3"/>
          <c:tx>
            <c:strRef>
              <c:f>Diagrams!$E$5</c:f>
              <c:strCache>
                <c:ptCount val="1"/>
                <c:pt idx="0">
                  <c:v>BNC-1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Diagrams!$E$6:$E$12</c:f>
              <c:numCache>
                <c:formatCode>0.000</c:formatCode>
                <c:ptCount val="7"/>
                <c:pt idx="0">
                  <c:v>2.5468160205014194</c:v>
                </c:pt>
                <c:pt idx="1">
                  <c:v>3.3205281261493065</c:v>
                </c:pt>
                <c:pt idx="2">
                  <c:v>1.1546602852372416</c:v>
                </c:pt>
                <c:pt idx="3">
                  <c:v>10.52196131760385</c:v>
                </c:pt>
                <c:pt idx="4">
                  <c:v>7.5003542596169757</c:v>
                </c:pt>
                <c:pt idx="5">
                  <c:v>11.594571500532192</c:v>
                </c:pt>
                <c:pt idx="6">
                  <c:v>8.1775903997318373</c:v>
                </c:pt>
              </c:numCache>
            </c:numRef>
          </c:yVal>
        </c:ser>
        <c:ser>
          <c:idx val="4"/>
          <c:order val="4"/>
          <c:tx>
            <c:strRef>
              <c:f>Diagrams!$F$5</c:f>
              <c:strCache>
                <c:ptCount val="1"/>
                <c:pt idx="0">
                  <c:v>BNC-2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Diagrams!$F$6:$F$12</c:f>
              <c:numCache>
                <c:formatCode>0.000</c:formatCode>
                <c:ptCount val="7"/>
                <c:pt idx="0">
                  <c:v>2.4821815927628261</c:v>
                </c:pt>
                <c:pt idx="1">
                  <c:v>3.2589048450182232</c:v>
                </c:pt>
                <c:pt idx="2">
                  <c:v>1.1224137046273142</c:v>
                </c:pt>
                <c:pt idx="3">
                  <c:v>10.127004386652166</c:v>
                </c:pt>
                <c:pt idx="4">
                  <c:v>2.9563335144701584</c:v>
                </c:pt>
                <c:pt idx="5">
                  <c:v>13.988314769950623</c:v>
                </c:pt>
                <c:pt idx="6">
                  <c:v>6.9855923875690031</c:v>
                </c:pt>
              </c:numCache>
            </c:numRef>
          </c:yVal>
        </c:ser>
        <c:axId val="112804992"/>
        <c:axId val="112785664"/>
      </c:scatterChart>
      <c:valAx>
        <c:axId val="112804992"/>
        <c:scaling>
          <c:orientation val="minMax"/>
          <c:max val="18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Frequency (GHz)</a:t>
                </a:r>
              </a:p>
            </c:rich>
          </c:tx>
          <c:layout/>
        </c:title>
        <c:numFmt formatCode="General" sourceLinked="1"/>
        <c:tickLblPos val="nextTo"/>
        <c:crossAx val="112785664"/>
        <c:crosses val="autoZero"/>
        <c:crossBetween val="midCat"/>
      </c:valAx>
      <c:valAx>
        <c:axId val="112785664"/>
        <c:scaling>
          <c:orientation val="minMax"/>
          <c:min val="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SWR</a:t>
                </a:r>
              </a:p>
            </c:rich>
          </c:tx>
          <c:layout/>
        </c:title>
        <c:numFmt formatCode="0" sourceLinked="0"/>
        <c:tickLblPos val="nextTo"/>
        <c:crossAx val="112804992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400"/>
          </a:pPr>
          <a:endParaRPr lang="de-DE"/>
        </a:p>
      </c:txPr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strRef>
              <c:f>Diagrams!$B$5</c:f>
              <c:strCache>
                <c:ptCount val="1"/>
                <c:pt idx="0">
                  <c:v>H+S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Diagrams!$B$6:$B$12</c:f>
              <c:numCache>
                <c:formatCode>0.000</c:formatCode>
                <c:ptCount val="7"/>
                <c:pt idx="0">
                  <c:v>1.0201550886083601</c:v>
                </c:pt>
                <c:pt idx="1">
                  <c:v>1.0505200796339929</c:v>
                </c:pt>
                <c:pt idx="2">
                  <c:v>1.0657550047702644</c:v>
                </c:pt>
                <c:pt idx="3">
                  <c:v>1.1278312960620236</c:v>
                </c:pt>
                <c:pt idx="4">
                  <c:v>1.097264229240265</c:v>
                </c:pt>
                <c:pt idx="5">
                  <c:v>1.6234898508514541</c:v>
                </c:pt>
                <c:pt idx="6">
                  <c:v>2.0483813846322256</c:v>
                </c:pt>
              </c:numCache>
            </c:numRef>
          </c:yVal>
        </c:ser>
        <c:ser>
          <c:idx val="1"/>
          <c:order val="1"/>
          <c:tx>
            <c:strRef>
              <c:f>Diagrams!$C$5</c:f>
              <c:strCache>
                <c:ptCount val="1"/>
                <c:pt idx="0">
                  <c:v>Midw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Diagrams!$C$6:$C$12</c:f>
              <c:numCache>
                <c:formatCode>0.000</c:formatCode>
                <c:ptCount val="7"/>
                <c:pt idx="0">
                  <c:v>1.0142896609214207</c:v>
                </c:pt>
                <c:pt idx="1">
                  <c:v>1.065373012420914</c:v>
                </c:pt>
                <c:pt idx="2">
                  <c:v>1.0786279142208235</c:v>
                </c:pt>
                <c:pt idx="3">
                  <c:v>1.0365720906754821</c:v>
                </c:pt>
                <c:pt idx="4">
                  <c:v>1.1175961600831807</c:v>
                </c:pt>
                <c:pt idx="5">
                  <c:v>1.0701540360596424</c:v>
                </c:pt>
                <c:pt idx="6">
                  <c:v>1.1167820640846478</c:v>
                </c:pt>
              </c:numCache>
            </c:numRef>
          </c:yVal>
        </c:ser>
        <c:ser>
          <c:idx val="2"/>
          <c:order val="2"/>
          <c:tx>
            <c:strRef>
              <c:f>Diagrams!$D$5</c:f>
              <c:strCache>
                <c:ptCount val="1"/>
                <c:pt idx="0">
                  <c:v>Aero6dB</c:v>
                </c:pt>
              </c:strCache>
            </c:strRef>
          </c:tx>
          <c:xVal>
            <c:numRef>
              <c:f>Diagrams!$A$6:$A$12</c:f>
              <c:numCache>
                <c:formatCode>General</c:formatCode>
                <c:ptCount val="7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12</c:v>
                </c:pt>
                <c:pt idx="5">
                  <c:v>15</c:v>
                </c:pt>
                <c:pt idx="6">
                  <c:v>18</c:v>
                </c:pt>
              </c:numCache>
            </c:numRef>
          </c:xVal>
          <c:yVal>
            <c:numRef>
              <c:f>Diagrams!$D$6:$D$12</c:f>
              <c:numCache>
                <c:formatCode>0.000</c:formatCode>
                <c:ptCount val="7"/>
                <c:pt idx="0">
                  <c:v>1.0425423093523314</c:v>
                </c:pt>
                <c:pt idx="1">
                  <c:v>1.0853039959221453</c:v>
                </c:pt>
                <c:pt idx="2">
                  <c:v>1.139753862258656</c:v>
                </c:pt>
                <c:pt idx="3">
                  <c:v>1.1643531878148918</c:v>
                </c:pt>
                <c:pt idx="4">
                  <c:v>1.2058631248208551</c:v>
                </c:pt>
                <c:pt idx="5">
                  <c:v>1.2957498746864371</c:v>
                </c:pt>
                <c:pt idx="6">
                  <c:v>1.4325808425575166</c:v>
                </c:pt>
              </c:numCache>
            </c:numRef>
          </c:yVal>
        </c:ser>
        <c:axId val="166315904"/>
        <c:axId val="166322176"/>
      </c:scatterChart>
      <c:valAx>
        <c:axId val="166315904"/>
        <c:scaling>
          <c:orientation val="minMax"/>
          <c:max val="18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Frequency (GHz)</a:t>
                </a:r>
              </a:p>
            </c:rich>
          </c:tx>
          <c:layout/>
        </c:title>
        <c:numFmt formatCode="General" sourceLinked="1"/>
        <c:tickLblPos val="nextTo"/>
        <c:crossAx val="166322176"/>
        <c:crosses val="autoZero"/>
        <c:crossBetween val="midCat"/>
      </c:valAx>
      <c:valAx>
        <c:axId val="166322176"/>
        <c:scaling>
          <c:orientation val="minMax"/>
          <c:min val="1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de-DE"/>
                  <a:t>SWR</a:t>
                </a:r>
              </a:p>
            </c:rich>
          </c:tx>
          <c:layout/>
        </c:title>
        <c:numFmt formatCode="0.0" sourceLinked="0"/>
        <c:tickLblPos val="nextTo"/>
        <c:crossAx val="166315904"/>
        <c:crosses val="autoZero"/>
        <c:crossBetween val="midCat"/>
      </c:valAx>
    </c:plotArea>
    <c:legend>
      <c:legendPos val="r"/>
      <c:layout/>
      <c:txPr>
        <a:bodyPr/>
        <a:lstStyle/>
        <a:p>
          <a:pPr>
            <a:defRPr sz="1400"/>
          </a:pPr>
          <a:endParaRPr lang="de-DE"/>
        </a:p>
      </c:txPr>
    </c:legend>
    <c:plotVisOnly val="1"/>
  </c:chart>
  <c:txPr>
    <a:bodyPr/>
    <a:lstStyle/>
    <a:p>
      <a:pPr>
        <a:defRPr sz="1400"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57150</xdr:colOff>
      <xdr:row>2</xdr:row>
      <xdr:rowOff>19050</xdr:rowOff>
    </xdr:from>
    <xdr:to>
      <xdr:col>31</xdr:col>
      <xdr:colOff>57150</xdr:colOff>
      <xdr:row>26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</xdr:col>
      <xdr:colOff>66675</xdr:colOff>
      <xdr:row>26</xdr:row>
      <xdr:rowOff>161925</xdr:rowOff>
    </xdr:from>
    <xdr:to>
      <xdr:col>31</xdr:col>
      <xdr:colOff>66675</xdr:colOff>
      <xdr:row>42</xdr:row>
      <xdr:rowOff>47625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400050</xdr:colOff>
      <xdr:row>7</xdr:row>
      <xdr:rowOff>19050</xdr:rowOff>
    </xdr:from>
    <xdr:to>
      <xdr:col>12</xdr:col>
      <xdr:colOff>400050</xdr:colOff>
      <xdr:row>21</xdr:row>
      <xdr:rowOff>95250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400050</xdr:colOff>
      <xdr:row>22</xdr:row>
      <xdr:rowOff>142875</xdr:rowOff>
    </xdr:from>
    <xdr:to>
      <xdr:col>12</xdr:col>
      <xdr:colOff>400050</xdr:colOff>
      <xdr:row>37</xdr:row>
      <xdr:rowOff>28575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228600</xdr:colOff>
      <xdr:row>4</xdr:row>
      <xdr:rowOff>28574</xdr:rowOff>
    </xdr:from>
    <xdr:to>
      <xdr:col>19</xdr:col>
      <xdr:colOff>247650</xdr:colOff>
      <xdr:row>24</xdr:row>
      <xdr:rowOff>152399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228600</xdr:colOff>
      <xdr:row>25</xdr:row>
      <xdr:rowOff>38100</xdr:rowOff>
    </xdr:from>
    <xdr:to>
      <xdr:col>19</xdr:col>
      <xdr:colOff>247650</xdr:colOff>
      <xdr:row>45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3:X55"/>
  <sheetViews>
    <sheetView workbookViewId="0">
      <selection activeCell="O21" sqref="O21"/>
    </sheetView>
  </sheetViews>
  <sheetFormatPr baseColWidth="10" defaultRowHeight="15"/>
  <cols>
    <col min="4" max="4" width="11.42578125" style="2"/>
    <col min="6" max="6" width="11.42578125" style="4"/>
    <col min="7" max="7" width="11.42578125" style="6"/>
    <col min="8" max="13" width="11.42578125" style="4"/>
    <col min="14" max="14" width="11.42578125" style="8"/>
  </cols>
  <sheetData>
    <row r="3" spans="2:24">
      <c r="G3" s="6" t="s">
        <v>35</v>
      </c>
    </row>
    <row r="4" spans="2:24">
      <c r="B4" t="s">
        <v>36</v>
      </c>
      <c r="G4" s="6" t="s">
        <v>19</v>
      </c>
      <c r="H4" s="4" t="s">
        <v>20</v>
      </c>
      <c r="I4" s="4" t="s">
        <v>16</v>
      </c>
    </row>
    <row r="5" spans="2:24">
      <c r="B5" t="s">
        <v>1</v>
      </c>
      <c r="C5" t="s">
        <v>0</v>
      </c>
      <c r="D5" s="2" t="s">
        <v>2</v>
      </c>
      <c r="E5" t="s">
        <v>3</v>
      </c>
      <c r="F5" s="4" t="s">
        <v>4</v>
      </c>
      <c r="G5" s="6" t="s">
        <v>15</v>
      </c>
      <c r="H5" s="4" t="s">
        <v>15</v>
      </c>
      <c r="I5" s="4" t="s">
        <v>15</v>
      </c>
      <c r="J5" s="4" t="s">
        <v>17</v>
      </c>
      <c r="K5" s="4" t="s">
        <v>18</v>
      </c>
      <c r="L5" s="4" t="s">
        <v>10</v>
      </c>
      <c r="M5" s="4" t="s">
        <v>9</v>
      </c>
      <c r="O5" t="s">
        <v>6</v>
      </c>
      <c r="P5" t="s">
        <v>38</v>
      </c>
      <c r="Q5" t="s">
        <v>24</v>
      </c>
      <c r="R5" t="s">
        <v>7</v>
      </c>
      <c r="S5" t="s">
        <v>8</v>
      </c>
      <c r="T5" t="s">
        <v>11</v>
      </c>
      <c r="U5" t="s">
        <v>12</v>
      </c>
      <c r="V5" t="s">
        <v>2</v>
      </c>
      <c r="W5" t="s">
        <v>10</v>
      </c>
      <c r="X5" t="s">
        <v>9</v>
      </c>
    </row>
    <row r="6" spans="2:24">
      <c r="B6">
        <v>2</v>
      </c>
      <c r="C6" s="1">
        <v>40.020000000000003</v>
      </c>
      <c r="D6" s="3">
        <f>(1+(10^(C6/20)))/((10^(C6/20))-1)</f>
        <v>1.0201550886083601</v>
      </c>
      <c r="E6" s="1">
        <f>10^(-C6/20)</f>
        <v>9.9770006382255225E-3</v>
      </c>
      <c r="F6" s="4">
        <f>50*((1+E6)/(1-E6))</f>
        <v>51.007754430418004</v>
      </c>
      <c r="G6" s="7">
        <f>0.027+0.07*E6*E6</f>
        <v>2.7006967837921461E-2</v>
      </c>
      <c r="H6" s="1">
        <f>0.027+0.11*E6*E6</f>
        <v>2.7010949459590865E-2</v>
      </c>
      <c r="I6" s="1">
        <f>G6</f>
        <v>2.7006967837921461E-2</v>
      </c>
      <c r="J6" s="1">
        <f>E6-I6</f>
        <v>-1.702996719969594E-2</v>
      </c>
      <c r="K6" s="1">
        <f>E6+I6</f>
        <v>3.6983968476146982E-2</v>
      </c>
      <c r="L6" s="1">
        <f t="shared" ref="L6" si="0">(1+J6)/(1-J6)</f>
        <v>0.96651039251756476</v>
      </c>
      <c r="M6" s="1">
        <f t="shared" ref="M6" si="1">(1+K6)/(1-K6)</f>
        <v>1.0768086247071598</v>
      </c>
      <c r="O6">
        <f>C6</f>
        <v>40.020000000000003</v>
      </c>
      <c r="P6" s="4">
        <f>6.8763-0.2966595*B6+0.073987544*B6^2-0.0068091249*B6^3+0.000214033624*B6^4</f>
        <v>6.527882714784</v>
      </c>
      <c r="Q6">
        <v>38</v>
      </c>
      <c r="R6" s="5">
        <f>O6+P6+10*LOG10(10^((-P6-O6)/10)+10^(-Q6/10)+2*10^((-P6-O6-Q6)/20))</f>
        <v>11.30617102483415</v>
      </c>
      <c r="S6" s="5">
        <f>O6+P6+10*LOG10(10^((-P6-O6)/10)+10^(-Q6/10)-2*10^((-P6-O6-Q6)/20))</f>
        <v>4.482543099079372</v>
      </c>
      <c r="T6" s="4">
        <f>O6-R6</f>
        <v>28.713828975165853</v>
      </c>
      <c r="U6" s="4">
        <f>O6-S6</f>
        <v>35.537456900920631</v>
      </c>
      <c r="V6" s="3">
        <f>(1+(10^(O6/20)))/((10^(O6/20))-1)</f>
        <v>1.0201550886083601</v>
      </c>
      <c r="W6" s="3">
        <f>(1+(10^((O6-S6)/20)))/((10^((O6-S6)/20))-1)</f>
        <v>1.0339999352300548</v>
      </c>
      <c r="X6" s="3">
        <f>(1+(10^((O6-R6)/20)))/((10^((O6-R6)/20))-1)</f>
        <v>1.0761313220995645</v>
      </c>
    </row>
    <row r="7" spans="2:24">
      <c r="B7">
        <v>4</v>
      </c>
      <c r="C7" s="1">
        <v>32.167999999999999</v>
      </c>
      <c r="D7" s="3">
        <f>(1+(10^(C7/20)))/((10^(C7/20))-1)</f>
        <v>1.0505200796339929</v>
      </c>
      <c r="E7" s="1">
        <f>10^(-C7/20)</f>
        <v>2.4637690767217692E-2</v>
      </c>
      <c r="F7" s="4">
        <f>50*((1+E7)/(1-E7))</f>
        <v>52.526003981699645</v>
      </c>
      <c r="G7" s="7">
        <f>0.027+0.07*E7*E7</f>
        <v>2.7042491106443873E-2</v>
      </c>
      <c r="H7" s="1">
        <f>0.027+0.11*E7*E7</f>
        <v>2.7066771738697516E-2</v>
      </c>
      <c r="I7" s="1">
        <f>G7</f>
        <v>2.7042491106443873E-2</v>
      </c>
      <c r="J7" s="1">
        <f>E7-I7</f>
        <v>-2.4048003392261805E-3</v>
      </c>
      <c r="K7" s="1">
        <f>E7+I7</f>
        <v>5.1680181873661565E-2</v>
      </c>
      <c r="L7" s="1">
        <f t="shared" ref="L7" si="2">(1+J7)/(1-J7)</f>
        <v>0.99520193770338627</v>
      </c>
      <c r="M7" s="1">
        <f t="shared" ref="M7" si="3">(1+K7)/(1-K7)</f>
        <v>1.1089931495384537</v>
      </c>
      <c r="O7">
        <f>C7</f>
        <v>32.167999999999999</v>
      </c>
      <c r="P7" s="4">
        <f>6.8763-0.2966595*B7+0.073987544*B7^2-0.0068091249*B7^3+0.000214033624*B7^4</f>
        <v>6.4924713181439992</v>
      </c>
      <c r="Q7">
        <v>38.5</v>
      </c>
      <c r="R7" s="5">
        <f>O7+P7+10*LOG10(10^((-P7-O7)/10)+10^(-Q7/10)+2*10^((-P7-O7-Q7)/20))</f>
        <v>6.1012061543933171</v>
      </c>
      <c r="S7" s="5">
        <f>O7+P7+10*LOG10(10^((-P7-O7)/10)+10^(-Q7/10)-2*10^((-P7-O7-Q7)/20))</f>
        <v>-34.587978551172348</v>
      </c>
      <c r="T7" s="4">
        <f>O7-R7</f>
        <v>26.066793845606682</v>
      </c>
      <c r="U7" s="4">
        <f>O7-S7</f>
        <v>66.755978551172348</v>
      </c>
      <c r="V7" s="3">
        <f>(1+(10^(O7/20)))/((10^(O7/20))-1)</f>
        <v>1.0505200796339929</v>
      </c>
      <c r="W7" s="3">
        <f t="shared" ref="W7:W12" si="4">(1+(10^((O7-S7)/20)))/((10^((O7-S7)/20))-1)</f>
        <v>1.0009192436393275</v>
      </c>
      <c r="X7" s="3">
        <f t="shared" ref="X7:X12" si="5">(1+(10^((O7-R7)/20)))/((10^((O7-R7)/20))-1)</f>
        <v>1.1046756038012131</v>
      </c>
    </row>
    <row r="8" spans="2:24">
      <c r="B8">
        <v>6</v>
      </c>
      <c r="C8" s="1">
        <v>29.943000000000001</v>
      </c>
      <c r="D8" s="3">
        <f>(1+(10^(C8/20)))/((10^(C8/20))-1)</f>
        <v>1.0657550047702644</v>
      </c>
      <c r="E8" s="1">
        <f>10^(-C8/20)</f>
        <v>3.1830979287680305E-2</v>
      </c>
      <c r="F8" s="4">
        <f>50*((1+E8)/(1-E8))</f>
        <v>53.287750238513212</v>
      </c>
      <c r="G8" s="7">
        <f>0.027+0.07*E8*E8</f>
        <v>2.7070924786968893E-2</v>
      </c>
      <c r="H8" s="1">
        <f>0.027+0.11*E8*E8</f>
        <v>2.71114532366654E-2</v>
      </c>
      <c r="I8" s="1">
        <f>G8</f>
        <v>2.7070924786968893E-2</v>
      </c>
      <c r="J8" s="1">
        <f>E8-I8</f>
        <v>4.760054500711413E-3</v>
      </c>
      <c r="K8" s="1">
        <f>E8+I8</f>
        <v>5.8901904074649195E-2</v>
      </c>
      <c r="L8" s="1">
        <f t="shared" ref="L8:M12" si="6">(1+J8)/(1-J8)</f>
        <v>1.009565641978575</v>
      </c>
      <c r="M8" s="1">
        <f t="shared" si="6"/>
        <v>1.1251769700303833</v>
      </c>
      <c r="O8">
        <f>C8</f>
        <v>29.943000000000001</v>
      </c>
      <c r="P8" s="4">
        <f>6.8763-0.2966595*B8+0.073987544*B8^2-0.0068091249*B8^3+0.000214033624*B8^4</f>
        <v>6.5665111823039997</v>
      </c>
      <c r="Q8">
        <v>37</v>
      </c>
      <c r="R8" s="5">
        <f>O8+P8+10*LOG10(10^((-P8-O8)/10)+10^(-Q8/10)+2*10^((-P8-O8-Q8)/20))</f>
        <v>5.7788172586669901</v>
      </c>
      <c r="S8" s="5">
        <f>O8+P8+10*LOG10(10^((-P8-O8)/10)+10^(-Q8/10)-2*10^((-P8-O8-Q8)/20))</f>
        <v>-25.207794294230958</v>
      </c>
      <c r="T8" s="4">
        <f>O8-R8</f>
        <v>24.164182741333011</v>
      </c>
      <c r="U8" s="4">
        <f>O8-S8</f>
        <v>55.150794294230963</v>
      </c>
      <c r="V8" s="3">
        <f>(1+(10^(O8/20)))/((10^(O8/20))-1)</f>
        <v>1.0657550047702644</v>
      </c>
      <c r="W8" s="3">
        <f t="shared" si="4"/>
        <v>1.0035014662926018</v>
      </c>
      <c r="X8" s="3">
        <f t="shared" si="5"/>
        <v>1.132001338807382</v>
      </c>
    </row>
    <row r="9" spans="2:24">
      <c r="B9">
        <v>8</v>
      </c>
      <c r="C9" s="1">
        <v>24.425999999999998</v>
      </c>
      <c r="D9" s="3">
        <f>(1+(10^(C9/20)))/((10^(C9/20))-1)</f>
        <v>1.1278312960620236</v>
      </c>
      <c r="E9" s="1">
        <f>10^(-C9/20)</f>
        <v>6.007586047756746E-2</v>
      </c>
      <c r="F9" s="4">
        <f>50*((1+E9)/(1-E9))</f>
        <v>56.391564803101183</v>
      </c>
      <c r="G9" s="7">
        <f>0.027+0.07*E9*E9</f>
        <v>2.7252637630848411E-2</v>
      </c>
      <c r="H9" s="1">
        <f>0.027+0.11*E9*E9</f>
        <v>2.7397001991333218E-2</v>
      </c>
      <c r="I9" s="1">
        <f>G9</f>
        <v>2.7252637630848411E-2</v>
      </c>
      <c r="J9" s="1">
        <f>E9-I9</f>
        <v>3.2823222846719048E-2</v>
      </c>
      <c r="K9" s="1">
        <f>E9+I9</f>
        <v>8.7328498108415864E-2</v>
      </c>
      <c r="L9" s="1">
        <f t="shared" ref="L9" si="7">(1+J9)/(1-J9)</f>
        <v>1.0678742989328767</v>
      </c>
      <c r="M9" s="1">
        <f t="shared" ref="M9" si="8">(1+K9)/(1-K9)</f>
        <v>1.191368960085684</v>
      </c>
      <c r="O9">
        <f>C9</f>
        <v>24.425999999999998</v>
      </c>
      <c r="P9" s="4">
        <f>6.8763-0.2966595*B9+0.073987544*B9^2-0.0068091249*B9^3+0.000214033624*B9^4</f>
        <v>6.6286365911040015</v>
      </c>
      <c r="Q9">
        <v>38.5</v>
      </c>
      <c r="R9" s="5">
        <f>O9+P9+10*LOG10(10^((-P9-O9)/10)+10^(-Q9/10)+2*10^((-P9-O9-Q9)/20))</f>
        <v>3.0723798204930617</v>
      </c>
      <c r="S9" s="5">
        <f>O9+P9+10*LOG10(10^((-P9-O9)/10)+10^(-Q9/10)-2*10^((-P9-O9-Q9)/20))</f>
        <v>-4.7969422108109114</v>
      </c>
      <c r="T9" s="4">
        <f>O9-R9</f>
        <v>21.353620179506937</v>
      </c>
      <c r="U9" s="4">
        <f>O9-S9</f>
        <v>29.22294221081091</v>
      </c>
      <c r="V9" s="3">
        <f>(1+(10^(O9/20)))/((10^(O9/20))-1)</f>
        <v>1.1278312960620236</v>
      </c>
      <c r="W9" s="3">
        <f t="shared" ref="W9" si="9">(1+(10^((O9-S9)/20)))/((10^((O9-S9)/20))-1)</f>
        <v>1.0716419821127632</v>
      </c>
      <c r="X9" s="3">
        <f t="shared" ref="X9" si="10">(1+(10^((O9-R9)/20)))/((10^((O9-R9)/20))-1)</f>
        <v>1.1871536421603004</v>
      </c>
    </row>
    <row r="10" spans="2:24">
      <c r="B10">
        <v>12</v>
      </c>
      <c r="C10" s="1">
        <v>26.673999999999999</v>
      </c>
      <c r="D10" s="3">
        <f>(1+(10^(C10/20)))/((10^(C10/20))-1)</f>
        <v>1.097264229240265</v>
      </c>
      <c r="E10" s="1">
        <f>10^(-C10/20)</f>
        <v>4.6376716812406175E-2</v>
      </c>
      <c r="F10" s="4">
        <f>50*((1+E10)/(1-E10))</f>
        <v>54.863211462013254</v>
      </c>
      <c r="G10" s="7">
        <f t="shared" ref="G10:G12" si="11">0.027+0.07*E10*E10</f>
        <v>2.715055599036087E-2</v>
      </c>
      <c r="H10" s="1">
        <f>0.027+0.11*E10*E10</f>
        <v>2.7236587984852793E-2</v>
      </c>
      <c r="I10" s="1">
        <f>G10</f>
        <v>2.715055599036087E-2</v>
      </c>
      <c r="J10" s="1">
        <f>E10-I10</f>
        <v>1.9226160822045306E-2</v>
      </c>
      <c r="K10" s="1">
        <f>E10+I10</f>
        <v>7.3527272802767052E-2</v>
      </c>
      <c r="L10" s="1">
        <f t="shared" si="6"/>
        <v>1.0392061045146961</v>
      </c>
      <c r="M10" s="1">
        <f t="shared" si="6"/>
        <v>1.1587251748363967</v>
      </c>
      <c r="O10">
        <f>C10</f>
        <v>26.673999999999999</v>
      </c>
      <c r="P10" s="4">
        <f>6.8763-0.2966595*B10+0.073987544*B10^2-0.0068091249*B10^3+0.000214033624*B10^4</f>
        <v>6.6426257360640006</v>
      </c>
      <c r="Q10">
        <v>38</v>
      </c>
      <c r="R10" s="5">
        <f>O10+P10+10*LOG10(10^((-P10-O10)/10)+10^(-Q10/10)+2*10^((-P10-O10-Q10)/20))</f>
        <v>3.9908170844937523</v>
      </c>
      <c r="S10" s="5">
        <f>O10+P10+10*LOG10(10^((-P10-O10)/10)+10^(-Q10/10)-2*10^((-P10-O10-Q10)/20))</f>
        <v>-7.6018311991808289</v>
      </c>
      <c r="T10" s="4">
        <f>O10-R10</f>
        <v>22.683182915506247</v>
      </c>
      <c r="U10" s="4">
        <f>O10-S10</f>
        <v>34.275831199180828</v>
      </c>
      <c r="V10" s="3">
        <f>(1+(10^(O10/20)))/((10^(O10/20))-1)</f>
        <v>1.097264229240265</v>
      </c>
      <c r="W10" s="3">
        <f t="shared" si="4"/>
        <v>1.0394198606173719</v>
      </c>
      <c r="X10" s="3">
        <f t="shared" si="5"/>
        <v>1.1584856793772349</v>
      </c>
    </row>
    <row r="11" spans="2:24">
      <c r="B11">
        <v>15</v>
      </c>
      <c r="C11" s="1">
        <v>12.481</v>
      </c>
      <c r="D11" s="3">
        <f>(1+(10^(C11/20)))/((10^(C11/20))-1)</f>
        <v>1.6234898508514541</v>
      </c>
      <c r="E11" s="1">
        <f>10^(-C11/20)</f>
        <v>0.23765666585258577</v>
      </c>
      <c r="F11" s="4">
        <f>50*((1+E11)/(1-E11))</f>
        <v>81.174492542572722</v>
      </c>
      <c r="G11" s="7">
        <f t="shared" si="11"/>
        <v>3.0953648357691731E-2</v>
      </c>
      <c r="H11" s="1">
        <f>0.027+0.11*E11*E11</f>
        <v>3.3212875990658433E-2</v>
      </c>
      <c r="I11" s="1">
        <f>H11</f>
        <v>3.3212875990658433E-2</v>
      </c>
      <c r="J11" s="1">
        <f>E11-I11</f>
        <v>0.20444378986192735</v>
      </c>
      <c r="K11" s="1">
        <f>E11+I11</f>
        <v>0.27086954184324419</v>
      </c>
      <c r="L11" s="1">
        <f t="shared" si="6"/>
        <v>1.5139644119588862</v>
      </c>
      <c r="M11" s="1">
        <f t="shared" si="6"/>
        <v>1.7429933527341688</v>
      </c>
      <c r="O11">
        <f>C11</f>
        <v>12.481</v>
      </c>
      <c r="P11" s="4">
        <f>6.8763-0.2966595*B11+0.073987544*B11^2-0.0068091249*B11^3+0.000214033624*B11^4</f>
        <v>6.9282605775000015</v>
      </c>
      <c r="Q11">
        <v>37</v>
      </c>
      <c r="R11" s="5">
        <f>O11+P11+10*LOG10(10^((-P11-O11)/10)+10^(-Q11/10)+2*10^((-P11-O11-Q11)/20))</f>
        <v>1.0766699247376366</v>
      </c>
      <c r="S11" s="5">
        <f>O11+P11+10*LOG10(10^((-P11-O11)/10)+10^(-Q11/10)-2*10^((-P11-O11-Q11)/20))</f>
        <v>-1.2292682394533827</v>
      </c>
      <c r="T11" s="4">
        <f>O11-R11</f>
        <v>11.404330075262363</v>
      </c>
      <c r="U11" s="4">
        <f>O11-S11</f>
        <v>13.710268239453383</v>
      </c>
      <c r="V11" s="3">
        <f>(1+(10^(O11/20)))/((10^(O11/20))-1)</f>
        <v>1.6234898508514541</v>
      </c>
      <c r="W11" s="3">
        <f t="shared" si="4"/>
        <v>1.5198247077172833</v>
      </c>
      <c r="X11" s="3">
        <f t="shared" si="5"/>
        <v>1.7360504842161149</v>
      </c>
    </row>
    <row r="12" spans="2:24">
      <c r="B12">
        <v>18</v>
      </c>
      <c r="C12" s="1">
        <v>9.2710000000000008</v>
      </c>
      <c r="D12" s="3">
        <f>(1+(10^(C12/20)))/((10^(C12/20))-1)</f>
        <v>2.0483813846322256</v>
      </c>
      <c r="E12" s="1">
        <f>10^(-C12/20)</f>
        <v>0.34391411452563647</v>
      </c>
      <c r="F12" s="4">
        <f>50*((1+E12)/(1-E12))</f>
        <v>102.41906923161126</v>
      </c>
      <c r="G12" s="7">
        <f t="shared" si="11"/>
        <v>3.5279384271896683E-2</v>
      </c>
      <c r="H12" s="1">
        <f>0.027+0.11*E12*E12</f>
        <v>4.0010460998694784E-2</v>
      </c>
      <c r="I12" s="1">
        <f>H12</f>
        <v>4.0010460998694784E-2</v>
      </c>
      <c r="J12" s="1">
        <f>E12-I12</f>
        <v>0.30390365352694171</v>
      </c>
      <c r="K12" s="1">
        <f>E12+I12</f>
        <v>0.38392457552433124</v>
      </c>
      <c r="L12" s="1">
        <f t="shared" si="6"/>
        <v>1.873165489423249</v>
      </c>
      <c r="M12" s="1">
        <f t="shared" si="6"/>
        <v>2.2463557553884992</v>
      </c>
      <c r="O12">
        <f>C12</f>
        <v>9.2710000000000008</v>
      </c>
      <c r="P12" s="4">
        <f>6.8763-0.2966595*B12+0.073987544*B12^2-0.0068091249*B12^3+0.000214033624*B12^4</f>
        <v>8.2659705522239975</v>
      </c>
      <c r="Q12">
        <v>36.5</v>
      </c>
      <c r="R12" s="5">
        <f>O12+P12+10*LOG10(10^((-P12-O12)/10)+10^(-Q12/10)+2*10^((-P12-O12-Q12)/20))</f>
        <v>0.92740905827994524</v>
      </c>
      <c r="S12" s="5">
        <f>O12+P12+10*LOG10(10^((-P12-O12)/10)+10^(-Q12/10)-2*10^((-P12-O12-Q12)/20))</f>
        <v>-1.038398879807513</v>
      </c>
      <c r="T12" s="4">
        <f>O12-R12</f>
        <v>8.3435909417200556</v>
      </c>
      <c r="U12" s="4">
        <f>O12-S12</f>
        <v>10.309398879807514</v>
      </c>
      <c r="V12" s="3">
        <f>(1+(10^(O12/20)))/((10^(O12/20))-1)</f>
        <v>2.0483813846322256</v>
      </c>
      <c r="W12" s="3">
        <f t="shared" si="4"/>
        <v>1.8783676166001324</v>
      </c>
      <c r="X12" s="3">
        <f t="shared" si="5"/>
        <v>2.2397399864169323</v>
      </c>
    </row>
    <row r="13" spans="2:24">
      <c r="C13" t="s">
        <v>43</v>
      </c>
      <c r="D13" s="3"/>
      <c r="E13" s="1"/>
      <c r="P13" s="4"/>
      <c r="R13" s="5"/>
      <c r="S13" s="5"/>
      <c r="T13" s="4"/>
      <c r="U13" s="4"/>
      <c r="V13" s="3"/>
      <c r="W13" s="3"/>
      <c r="X13" s="3"/>
    </row>
    <row r="14" spans="2:24">
      <c r="D14" s="3"/>
      <c r="E14" s="1"/>
      <c r="P14" s="4"/>
      <c r="R14" s="5"/>
      <c r="S14" s="5"/>
      <c r="T14" s="4"/>
      <c r="U14" s="4"/>
      <c r="V14" s="3"/>
      <c r="W14" s="3"/>
      <c r="X14" s="3"/>
    </row>
    <row r="15" spans="2:24">
      <c r="B15" t="s">
        <v>37</v>
      </c>
      <c r="G15" s="6" t="s">
        <v>19</v>
      </c>
      <c r="H15" s="4" t="s">
        <v>20</v>
      </c>
      <c r="I15" s="4" t="s">
        <v>16</v>
      </c>
    </row>
    <row r="16" spans="2:24">
      <c r="B16" t="s">
        <v>1</v>
      </c>
      <c r="C16" t="s">
        <v>0</v>
      </c>
      <c r="D16" s="2" t="s">
        <v>2</v>
      </c>
      <c r="E16" t="s">
        <v>3</v>
      </c>
      <c r="F16" s="4" t="s">
        <v>4</v>
      </c>
      <c r="G16" s="6" t="s">
        <v>15</v>
      </c>
      <c r="H16" s="4" t="s">
        <v>15</v>
      </c>
      <c r="I16" s="4" t="s">
        <v>15</v>
      </c>
      <c r="J16" s="4" t="s">
        <v>17</v>
      </c>
      <c r="K16" s="4" t="s">
        <v>18</v>
      </c>
      <c r="L16" s="4" t="s">
        <v>10</v>
      </c>
      <c r="M16" s="4" t="s">
        <v>9</v>
      </c>
      <c r="O16" t="s">
        <v>6</v>
      </c>
      <c r="P16" t="s">
        <v>38</v>
      </c>
      <c r="Q16" t="s">
        <v>24</v>
      </c>
      <c r="R16" t="s">
        <v>7</v>
      </c>
      <c r="S16" t="s">
        <v>8</v>
      </c>
      <c r="T16" t="s">
        <v>11</v>
      </c>
      <c r="U16" t="s">
        <v>12</v>
      </c>
      <c r="V16" t="s">
        <v>2</v>
      </c>
      <c r="W16" t="s">
        <v>10</v>
      </c>
      <c r="X16" t="s">
        <v>9</v>
      </c>
    </row>
    <row r="17" spans="2:24">
      <c r="B17">
        <v>2</v>
      </c>
      <c r="C17" s="1">
        <v>42.981999999999999</v>
      </c>
      <c r="D17" s="3">
        <f>(1+(10^(C17/20)))/((10^(C17/20))-1)</f>
        <v>1.0142896609214207</v>
      </c>
      <c r="E17" s="1">
        <f>10^(-C17/20)</f>
        <v>7.0941440045340694E-3</v>
      </c>
      <c r="F17" s="4">
        <f>50*((1+E17)/(1-E17))</f>
        <v>50.714483046071038</v>
      </c>
      <c r="G17" s="7">
        <f>0.027+0.07*E17*E17</f>
        <v>2.7003522881540995E-2</v>
      </c>
      <c r="H17" s="1">
        <f>0.027+0.11*E17*E17</f>
        <v>2.7005535956707277E-2</v>
      </c>
      <c r="I17" s="1">
        <f>G17</f>
        <v>2.7003522881540995E-2</v>
      </c>
      <c r="J17" s="1">
        <f>E17-I17</f>
        <v>-1.9909378877006924E-2</v>
      </c>
      <c r="K17" s="1">
        <f>E17+I17</f>
        <v>3.4097666886075066E-2</v>
      </c>
      <c r="L17" s="1">
        <f t="shared" ref="L17:L23" si="12">(1+J17)/(1-J17)</f>
        <v>0.96095853359260497</v>
      </c>
      <c r="M17" s="1">
        <f t="shared" ref="M17:M23" si="13">(1+K17)/(1-K17)</f>
        <v>1.0706027218635021</v>
      </c>
      <c r="O17">
        <f>C17</f>
        <v>42.981999999999999</v>
      </c>
      <c r="P17" s="4">
        <f>6.8763-0.2966595*B17+0.073987544*B17^2-0.0068091249*B17^3+0.000214033624*B17^4</f>
        <v>6.527882714784</v>
      </c>
      <c r="Q17">
        <v>38</v>
      </c>
      <c r="R17" s="5">
        <f>O17+P17+10*LOG10(10^((-P17-O17)/10)+10^(-Q17/10)+2*10^((-P17-O17-Q17)/20))</f>
        <v>13.556978292882754</v>
      </c>
      <c r="S17" s="5">
        <f>O17+P17+10*LOG10(10^((-P17-O17)/10)+10^(-Q17/10)-2*10^((-P17-O17-Q17)/20))</f>
        <v>8.8265258903656729</v>
      </c>
      <c r="T17" s="4">
        <f>O17-R17</f>
        <v>29.425021707117246</v>
      </c>
      <c r="U17" s="4">
        <f>O17-S17</f>
        <v>34.155474109634326</v>
      </c>
      <c r="V17" s="3">
        <f>(1+(10^(O17/20)))/((10^(O17/20))-1)</f>
        <v>1.0142896609214207</v>
      </c>
      <c r="W17" s="3">
        <f>(1+(10^((O17-S17)/20)))/((10^((O17-S17)/20))-1)</f>
        <v>1.0399808839948366</v>
      </c>
      <c r="X17" s="3">
        <f>(1+(10^((O17-R17)/20)))/((10^((O17-R17)/20))-1)</f>
        <v>1.0699368405424774</v>
      </c>
    </row>
    <row r="18" spans="2:24">
      <c r="B18">
        <v>4</v>
      </c>
      <c r="C18" s="1">
        <v>29.992000000000001</v>
      </c>
      <c r="D18" s="3">
        <f>(1+(10^(C18/20)))/((10^(C18/20))-1)</f>
        <v>1.065373012420914</v>
      </c>
      <c r="E18" s="1">
        <f>10^(-C18/20)</f>
        <v>3.1651915672262637E-2</v>
      </c>
      <c r="F18" s="4">
        <f>50*((1+E18)/(1-E18))</f>
        <v>53.268650621045687</v>
      </c>
      <c r="G18" s="7">
        <f>0.027+0.07*E18*E18</f>
        <v>2.7070129063600682E-2</v>
      </c>
      <c r="H18" s="1">
        <f>0.027+0.11*E18*E18</f>
        <v>2.7110202814229642E-2</v>
      </c>
      <c r="I18" s="1">
        <f>G18</f>
        <v>2.7070129063600682E-2</v>
      </c>
      <c r="J18" s="1">
        <f>E18-I18</f>
        <v>4.5817866086619551E-3</v>
      </c>
      <c r="K18" s="1">
        <f>E18+I18</f>
        <v>5.8722044735863316E-2</v>
      </c>
      <c r="L18" s="1">
        <f t="shared" si="12"/>
        <v>1.0092057520085995</v>
      </c>
      <c r="M18" s="1">
        <f t="shared" si="13"/>
        <v>1.1247708913343988</v>
      </c>
      <c r="O18">
        <f>C18</f>
        <v>29.992000000000001</v>
      </c>
      <c r="P18" s="4">
        <f>6.8763-0.2966595*B18+0.073987544*B18^2-0.0068091249*B18^3+0.000214033624*B18^4</f>
        <v>6.4924713181439992</v>
      </c>
      <c r="Q18">
        <v>38.5</v>
      </c>
      <c r="R18" s="5">
        <f>O18+P18+10*LOG10(10^((-P18-O18)/10)+10^(-Q18/10)+2*10^((-P18-O18-Q18)/20))</f>
        <v>5.0711668785310096</v>
      </c>
      <c r="S18" s="5">
        <f>O18+P18+10*LOG10(10^((-P18-O18)/10)+10^(-Q18/10)-2*10^((-P18-O18-Q18)/20))</f>
        <v>-13.676792228822158</v>
      </c>
      <c r="T18" s="4">
        <f>O18-R18</f>
        <v>24.920833121468991</v>
      </c>
      <c r="U18" s="4">
        <f>O18-S18</f>
        <v>43.668792228822156</v>
      </c>
      <c r="V18" s="3">
        <f>(1+(10^(O18/20)))/((10^(O18/20))-1)</f>
        <v>1.065373012420914</v>
      </c>
      <c r="W18" s="3">
        <f t="shared" ref="W18:W23" si="14">(1+(10^((O18-S18)/20)))/((10^((O18-S18)/20))-1)</f>
        <v>1.0131961266399179</v>
      </c>
      <c r="X18" s="3">
        <f t="shared" ref="X18:X23" si="15">(1+(10^((O18-R18)/20)))/((10^((O18-R18)/20))-1)</f>
        <v>1.1203264414943772</v>
      </c>
    </row>
    <row r="19" spans="2:24">
      <c r="B19">
        <v>6</v>
      </c>
      <c r="C19" s="1">
        <v>28.443999999999999</v>
      </c>
      <c r="D19" s="3">
        <f>(1+(10^(C19/20)))/((10^(C19/20))-1)</f>
        <v>1.0786279142208235</v>
      </c>
      <c r="E19" s="1">
        <f>10^(-C19/20)</f>
        <v>3.7826834558938968E-2</v>
      </c>
      <c r="F19" s="4">
        <f>50*((1+E19)/(1-E19))</f>
        <v>53.931395711041176</v>
      </c>
      <c r="G19" s="7">
        <f>0.027+0.07*E19*E19</f>
        <v>2.7100160858892452E-2</v>
      </c>
      <c r="H19" s="1">
        <f>0.027+0.11*E19*E19</f>
        <v>2.7157395635402426E-2</v>
      </c>
      <c r="I19" s="1">
        <f>G19</f>
        <v>2.7100160858892452E-2</v>
      </c>
      <c r="J19" s="1">
        <f>E19-I19</f>
        <v>1.0726673700046516E-2</v>
      </c>
      <c r="K19" s="1">
        <f>E19+I19</f>
        <v>6.4926995417831423E-2</v>
      </c>
      <c r="L19" s="1">
        <f t="shared" si="12"/>
        <v>1.021685965677789</v>
      </c>
      <c r="M19" s="1">
        <f t="shared" si="13"/>
        <v>1.138870430650158</v>
      </c>
      <c r="O19">
        <f>C19</f>
        <v>28.443999999999999</v>
      </c>
      <c r="P19" s="4">
        <f>6.8763-0.2966595*B19+0.073987544*B19^2-0.0068091249*B19^3+0.000214033624*B19^4</f>
        <v>6.5665111823039997</v>
      </c>
      <c r="Q19">
        <v>37</v>
      </c>
      <c r="R19" s="5">
        <f>O19+P19+10*LOG10(10^((-P19-O19)/10)+10^(-Q19/10)+2*10^((-P19-O19-Q19)/20))</f>
        <v>5.0826925681871913</v>
      </c>
      <c r="S19" s="5">
        <f>O19+P19+10*LOG10(10^((-P19-O19)/10)+10^(-Q19/10)-2*10^((-P19-O19-Q19)/20))</f>
        <v>-13.777221744815407</v>
      </c>
      <c r="T19" s="4">
        <f>O19-R19</f>
        <v>23.361307431812808</v>
      </c>
      <c r="U19" s="4">
        <f>O19-S19</f>
        <v>42.221221744815409</v>
      </c>
      <c r="V19" s="3">
        <f>(1+(10^(O19/20)))/((10^(O19/20))-1)</f>
        <v>1.0786279142208235</v>
      </c>
      <c r="W19" s="3">
        <f t="shared" si="14"/>
        <v>1.0156079177748474</v>
      </c>
      <c r="X19" s="3">
        <f t="shared" si="15"/>
        <v>1.1457158657213895</v>
      </c>
    </row>
    <row r="20" spans="2:24">
      <c r="B20">
        <v>8</v>
      </c>
      <c r="C20" s="1">
        <v>34.914999999999999</v>
      </c>
      <c r="D20" s="3">
        <f>(1+(10^(C20/20)))/((10^(C20/20))-1)</f>
        <v>1.0365720906754821</v>
      </c>
      <c r="E20" s="1">
        <f>10^(-C20/20)</f>
        <v>1.795767055972566E-2</v>
      </c>
      <c r="F20" s="4">
        <f>50*((1+E20)/(1-E20))</f>
        <v>51.828604533774104</v>
      </c>
      <c r="G20" s="7">
        <f>0.027+0.07*E20*E20</f>
        <v>2.7022573455235215E-2</v>
      </c>
      <c r="H20" s="1">
        <f>0.027+0.11*E20*E20</f>
        <v>2.703547257251248E-2</v>
      </c>
      <c r="I20" s="1">
        <f>G20</f>
        <v>2.7022573455235215E-2</v>
      </c>
      <c r="J20" s="1">
        <f>E20-I20</f>
        <v>-9.0649028955095551E-3</v>
      </c>
      <c r="K20" s="1">
        <f>E20+I20</f>
        <v>4.4980244014960875E-2</v>
      </c>
      <c r="L20" s="1">
        <f t="shared" si="12"/>
        <v>0.98203306275047741</v>
      </c>
      <c r="M20" s="1">
        <f t="shared" si="13"/>
        <v>1.0941975152515391</v>
      </c>
      <c r="O20">
        <f>C20</f>
        <v>34.914999999999999</v>
      </c>
      <c r="P20" s="4">
        <f>6.8763-0.2966595*B20+0.073987544*B20^2-0.0068091249*B20^3+0.000214033624*B20^4</f>
        <v>6.6286365911040015</v>
      </c>
      <c r="Q20">
        <v>38.5</v>
      </c>
      <c r="R20" s="5">
        <f>O20+P20+10*LOG10(10^((-P20-O20)/10)+10^(-Q20/10)+2*10^((-P20-O20-Q20)/20))</f>
        <v>7.6750573742281603</v>
      </c>
      <c r="S20" s="5">
        <f>O20+P20+10*LOG10(10^((-P20-O20)/10)+10^(-Q20/10)-2*10^((-P20-O20-Q20)/20))</f>
        <v>-7.5422187271838226</v>
      </c>
      <c r="T20" s="4">
        <f>O20-R20</f>
        <v>27.239942625771839</v>
      </c>
      <c r="U20" s="4">
        <f>O20-S20</f>
        <v>42.457218727183822</v>
      </c>
      <c r="V20" s="3">
        <f>(1+(10^(O20/20)))/((10^(O20/20))-1)</f>
        <v>1.0365720906754821</v>
      </c>
      <c r="W20" s="3">
        <f t="shared" si="14"/>
        <v>1.0151863807084012</v>
      </c>
      <c r="X20" s="3">
        <f t="shared" si="15"/>
        <v>1.0908501780624271</v>
      </c>
    </row>
    <row r="21" spans="2:24">
      <c r="B21">
        <v>12</v>
      </c>
      <c r="C21" s="1">
        <v>25.109000000000002</v>
      </c>
      <c r="D21" s="3">
        <f>(1+(10^(C21/20)))/((10^(C21/20))-1)</f>
        <v>1.1175961600831807</v>
      </c>
      <c r="E21" s="1">
        <f>10^(-C21/20)</f>
        <v>5.553285480011521E-2</v>
      </c>
      <c r="F21" s="4">
        <f>50*((1+E21)/(1-E21))</f>
        <v>55.879808004159038</v>
      </c>
      <c r="G21" s="7">
        <f t="shared" ref="G21:G23" si="16">0.027+0.07*E21*E21</f>
        <v>2.7215872857357548E-2</v>
      </c>
      <c r="H21" s="1">
        <f>0.027+0.11*E21*E21</f>
        <v>2.7339228775847574E-2</v>
      </c>
      <c r="I21" s="1">
        <f>G21</f>
        <v>2.7215872857357548E-2</v>
      </c>
      <c r="J21" s="1">
        <f>E21-I21</f>
        <v>2.8316981942757662E-2</v>
      </c>
      <c r="K21" s="1">
        <f>E21+I21</f>
        <v>8.2748727657472765E-2</v>
      </c>
      <c r="L21" s="1">
        <f t="shared" si="12"/>
        <v>1.0582844022516187</v>
      </c>
      <c r="M21" s="1">
        <f t="shared" si="13"/>
        <v>1.1804276105197313</v>
      </c>
      <c r="O21">
        <f>C21</f>
        <v>25.109000000000002</v>
      </c>
      <c r="P21" s="4">
        <f>6.8763-0.2966595*B21+0.073987544*B21^2-0.0068091249*B21^3+0.000214033624*B21^4</f>
        <v>6.6426257360640006</v>
      </c>
      <c r="Q21">
        <v>38</v>
      </c>
      <c r="R21" s="5">
        <f>O21+P21+10*LOG10(10^((-P21-O21)/10)+10^(-Q21/10)+2*10^((-P21-O21-Q21)/20))</f>
        <v>3.446562122207844</v>
      </c>
      <c r="S21" s="5">
        <f>O21+P21+10*LOG10(10^((-P21-O21)/10)+10^(-Q21/10)-2*10^((-P21-O21-Q21)/20))</f>
        <v>-5.7986462866299782</v>
      </c>
      <c r="T21" s="4">
        <f>O21-R21</f>
        <v>21.662437877792158</v>
      </c>
      <c r="U21" s="4">
        <f>O21-S21</f>
        <v>30.90764628662998</v>
      </c>
      <c r="V21" s="3">
        <f>(1+(10^(O21/20)))/((10^(O21/20))-1)</f>
        <v>1.1175961600831807</v>
      </c>
      <c r="W21" s="3">
        <f t="shared" si="14"/>
        <v>1.0586405741438054</v>
      </c>
      <c r="X21" s="3">
        <f t="shared" si="15"/>
        <v>1.1800280546751265</v>
      </c>
    </row>
    <row r="22" spans="2:24">
      <c r="B22">
        <v>15</v>
      </c>
      <c r="C22" s="1">
        <v>29.399000000000001</v>
      </c>
      <c r="D22" s="3">
        <f>(1+(10^(C22/20)))/((10^(C22/20))-1)</f>
        <v>1.0701540360596424</v>
      </c>
      <c r="E22" s="1">
        <f>10^(-C22/20)</f>
        <v>3.3888316926007377E-2</v>
      </c>
      <c r="F22" s="4">
        <f>50*((1+E22)/(1-E22))</f>
        <v>53.507701802982119</v>
      </c>
      <c r="G22" s="7">
        <f t="shared" si="16"/>
        <v>2.7080389261685427E-2</v>
      </c>
      <c r="H22" s="1">
        <f>0.027+0.11*E22*E22</f>
        <v>2.7126325982648528E-2</v>
      </c>
      <c r="I22" s="1">
        <f>H22</f>
        <v>2.7126325982648528E-2</v>
      </c>
      <c r="J22" s="1">
        <f>E22-I22</f>
        <v>6.7619909433588483E-3</v>
      </c>
      <c r="K22" s="1">
        <f>E22+I22</f>
        <v>6.1014642908655908E-2</v>
      </c>
      <c r="L22" s="1">
        <f t="shared" si="12"/>
        <v>1.013616053517286</v>
      </c>
      <c r="M22" s="1">
        <f t="shared" si="13"/>
        <v>1.1299586675082101</v>
      </c>
      <c r="O22">
        <f>C22</f>
        <v>29.399000000000001</v>
      </c>
      <c r="P22" s="4">
        <f>6.8763-0.2966595*B22+0.073987544*B22^2-0.0068091249*B22^3+0.000214033624*B22^4</f>
        <v>6.9282605775000015</v>
      </c>
      <c r="Q22">
        <v>37</v>
      </c>
      <c r="R22" s="5">
        <f>O22+P22+10*LOG10(10^((-P22-O22)/10)+10^(-Q22/10)+2*10^((-P22-O22-Q22)/20))</f>
        <v>5.690741700455618</v>
      </c>
      <c r="S22" s="5">
        <f>O22+P22+10*LOG10(10^((-P22-O22)/10)+10^(-Q22/10)-2*10^((-P22-O22-Q22)/20))</f>
        <v>-22.553547355837324</v>
      </c>
      <c r="T22" s="4">
        <f>O22-R22</f>
        <v>23.708258299544383</v>
      </c>
      <c r="U22" s="4">
        <f>O22-S22</f>
        <v>51.952547355837325</v>
      </c>
      <c r="V22" s="3">
        <f>(1+(10^(O22/20)))/((10^(O22/20))-1)</f>
        <v>1.0701540360596424</v>
      </c>
      <c r="W22" s="3">
        <f t="shared" si="14"/>
        <v>1.0050640838716138</v>
      </c>
      <c r="X22" s="3">
        <f t="shared" si="15"/>
        <v>1.1396117803812313</v>
      </c>
    </row>
    <row r="23" spans="2:24">
      <c r="B23">
        <v>18</v>
      </c>
      <c r="C23" s="1">
        <v>25.166</v>
      </c>
      <c r="D23" s="3">
        <f>(1+(10^(C23/20)))/((10^(C23/20))-1)</f>
        <v>1.1167820640846478</v>
      </c>
      <c r="E23" s="1">
        <f>10^(-C23/20)</f>
        <v>5.5169620938349852E-2</v>
      </c>
      <c r="F23" s="4">
        <f>50*((1+E23)/(1-E23))</f>
        <v>55.839103204232387</v>
      </c>
      <c r="G23" s="7">
        <f t="shared" si="16"/>
        <v>2.7213058095213686E-2</v>
      </c>
      <c r="H23" s="1">
        <f>0.027+0.11*E23*E23</f>
        <v>2.7334805578192931E-2</v>
      </c>
      <c r="I23" s="1">
        <f>H23</f>
        <v>2.7334805578192931E-2</v>
      </c>
      <c r="J23" s="1">
        <f>E23-I23</f>
        <v>2.7834815360156921E-2</v>
      </c>
      <c r="K23" s="1">
        <f>E23+I23</f>
        <v>8.2504426516542786E-2</v>
      </c>
      <c r="L23" s="1">
        <f t="shared" si="12"/>
        <v>1.0572635510918216</v>
      </c>
      <c r="M23" s="1">
        <f t="shared" si="13"/>
        <v>1.1798470290233622</v>
      </c>
      <c r="O23">
        <f>C23</f>
        <v>25.166</v>
      </c>
      <c r="P23" s="4">
        <f>6.8763-0.2966595*B23+0.073987544*B23^2-0.0068091249*B23^3+0.000214033624*B23^4</f>
        <v>8.2659705522239975</v>
      </c>
      <c r="Q23">
        <v>36.5</v>
      </c>
      <c r="R23" s="5">
        <f>O23+P23+10*LOG10(10^((-P23-O23)/10)+10^(-Q23/10)+2*10^((-P23-O23-Q23)/20))</f>
        <v>4.6213479436424976</v>
      </c>
      <c r="S23" s="5">
        <f>O23+P23+10*LOG10(10^((-P23-O23)/10)+10^(-Q23/10)-2*10^((-P23-O23-Q23)/20))</f>
        <v>-10.52800352522641</v>
      </c>
      <c r="T23" s="4">
        <f>O23-R23</f>
        <v>20.544652056357503</v>
      </c>
      <c r="U23" s="4">
        <f>O23-S23</f>
        <v>35.694003525226407</v>
      </c>
      <c r="V23" s="3">
        <f>(1+(10^(O23/20)))/((10^(O23/20))-1)</f>
        <v>1.1167820640846478</v>
      </c>
      <c r="W23" s="3">
        <f t="shared" si="14"/>
        <v>1.0333825037207982</v>
      </c>
      <c r="X23" s="3">
        <f t="shared" si="15"/>
        <v>1.2073155193295568</v>
      </c>
    </row>
    <row r="24" spans="2:24">
      <c r="C24" t="s">
        <v>39</v>
      </c>
      <c r="D24" s="3"/>
      <c r="E24" s="1"/>
      <c r="P24" s="4"/>
      <c r="R24" s="5"/>
      <c r="S24" s="5"/>
      <c r="T24" s="4"/>
      <c r="U24" s="4"/>
      <c r="V24" s="3"/>
      <c r="W24" s="3"/>
      <c r="X24" s="3"/>
    </row>
    <row r="25" spans="2:24">
      <c r="D25" s="3"/>
      <c r="E25" s="1"/>
      <c r="P25" s="4"/>
      <c r="R25" s="5"/>
      <c r="S25" s="5"/>
      <c r="T25" s="4"/>
      <c r="U25" s="4"/>
      <c r="V25" s="3"/>
      <c r="W25" s="3"/>
      <c r="X25" s="3"/>
    </row>
    <row r="26" spans="2:24">
      <c r="B26" t="s">
        <v>5</v>
      </c>
      <c r="G26" s="6" t="s">
        <v>19</v>
      </c>
      <c r="H26" s="4" t="s">
        <v>20</v>
      </c>
      <c r="I26" s="4" t="s">
        <v>16</v>
      </c>
      <c r="T26" s="4"/>
      <c r="U26" s="4"/>
    </row>
    <row r="27" spans="2:24">
      <c r="B27" t="s">
        <v>1</v>
      </c>
      <c r="C27" t="s">
        <v>0</v>
      </c>
      <c r="D27" s="2" t="s">
        <v>2</v>
      </c>
      <c r="E27" t="s">
        <v>3</v>
      </c>
      <c r="F27" s="4" t="s">
        <v>4</v>
      </c>
      <c r="G27" s="6" t="s">
        <v>15</v>
      </c>
      <c r="H27" s="4" t="s">
        <v>15</v>
      </c>
      <c r="I27" s="4" t="s">
        <v>15</v>
      </c>
      <c r="J27" s="4" t="s">
        <v>17</v>
      </c>
      <c r="K27" s="4" t="s">
        <v>18</v>
      </c>
      <c r="L27" s="4" t="s">
        <v>10</v>
      </c>
      <c r="M27" s="4" t="s">
        <v>9</v>
      </c>
      <c r="O27" t="s">
        <v>6</v>
      </c>
      <c r="P27" t="s">
        <v>38</v>
      </c>
      <c r="Q27" t="s">
        <v>24</v>
      </c>
      <c r="R27" t="s">
        <v>7</v>
      </c>
      <c r="S27" t="s">
        <v>8</v>
      </c>
      <c r="T27" t="s">
        <v>11</v>
      </c>
      <c r="U27" t="s">
        <v>12</v>
      </c>
      <c r="V27" t="s">
        <v>2</v>
      </c>
      <c r="W27" t="s">
        <v>10</v>
      </c>
      <c r="X27" t="s">
        <v>9</v>
      </c>
    </row>
    <row r="28" spans="2:24">
      <c r="B28">
        <v>2</v>
      </c>
      <c r="C28" s="1">
        <v>33.627000000000002</v>
      </c>
      <c r="D28" s="3">
        <f>(1+(10^(C28/20)))/((10^(C28/20))-1)</f>
        <v>1.0425423093523314</v>
      </c>
      <c r="E28" s="1">
        <f>10^(-C28/20)</f>
        <v>2.0828116586638086E-2</v>
      </c>
      <c r="F28" s="4">
        <f>50*((1+E28)/(1-E28))</f>
        <v>52.127115467616569</v>
      </c>
      <c r="G28" s="7">
        <f>0.027+0.07*E28*E28</f>
        <v>2.7030366730838262E-2</v>
      </c>
      <c r="H28" s="1">
        <f>0.027+0.11*E28*E28</f>
        <v>2.7047719148460124E-2</v>
      </c>
      <c r="I28" s="1">
        <f>G28</f>
        <v>2.7030366730838262E-2</v>
      </c>
      <c r="J28" s="1">
        <f>E28-I28</f>
        <v>-6.2022501442001755E-3</v>
      </c>
      <c r="K28" s="1">
        <f>E28+I28</f>
        <v>4.7858483317476344E-2</v>
      </c>
      <c r="L28" s="1">
        <f t="shared" ref="L28:L29" si="17">(1+J28)/(1-J28)</f>
        <v>0.98767196129145729</v>
      </c>
      <c r="M28" s="1">
        <f t="shared" ref="M28:M29" si="18">(1+K28)/(1-K28)</f>
        <v>1.1005280884804314</v>
      </c>
      <c r="O28">
        <f>C28</f>
        <v>33.627000000000002</v>
      </c>
      <c r="P28" s="4">
        <f>6.8763-0.2966595*B28+0.073987544*B28^2-0.0068091249*B28^3+0.000214033624*B28^4</f>
        <v>6.527882714784</v>
      </c>
      <c r="Q28">
        <v>38</v>
      </c>
      <c r="R28" s="5">
        <f>O28+P28+10*LOG10(10^((-P28-O28)/10)+10^(-Q28/10)+2*10^((-P28-O28-Q28)/20))</f>
        <v>7.1646962120258593</v>
      </c>
      <c r="S28" s="5">
        <f>O28+P28+10*LOG10(10^((-P28-O28)/10)+10^(-Q28/10)-2*10^((-P28-O28-Q28)/20))</f>
        <v>-11.008108239782736</v>
      </c>
      <c r="T28" s="4">
        <f>O28-R28</f>
        <v>26.462303787974143</v>
      </c>
      <c r="U28" s="4">
        <f>O28-S28</f>
        <v>44.635108239782738</v>
      </c>
      <c r="V28" s="3">
        <f>(1+(10^(O28/20)))/((10^(O28/20))-1)</f>
        <v>1.0425423093523314</v>
      </c>
      <c r="W28" s="3">
        <f>(1+(10^((O28-S28)/20)))/((10^((O28-S28)/20))-1)</f>
        <v>1.0117985620643666</v>
      </c>
      <c r="X28" s="3">
        <f>(1+(10^((O28-R28)/20)))/((10^((O28-R28)/20))-1)</f>
        <v>1.0997836438117408</v>
      </c>
    </row>
    <row r="29" spans="2:24">
      <c r="B29">
        <v>4</v>
      </c>
      <c r="C29" s="1">
        <v>27.763999999999999</v>
      </c>
      <c r="D29" s="3">
        <f>(1+(10^(C29/20)))/((10^(C29/20))-1)</f>
        <v>1.0853039959221453</v>
      </c>
      <c r="E29" s="1">
        <f>10^(-C29/20)</f>
        <v>4.0907223162166759E-2</v>
      </c>
      <c r="F29" s="4">
        <f>50*((1+E29)/(1-E29))</f>
        <v>54.265199796107268</v>
      </c>
      <c r="G29" s="7">
        <f>0.027+0.07*E29*E29</f>
        <v>2.7117138063478752E-2</v>
      </c>
      <c r="H29" s="1">
        <f>0.027+0.11*E29*E29</f>
        <v>2.7184074099752324E-2</v>
      </c>
      <c r="I29" s="1">
        <f>G29</f>
        <v>2.7117138063478752E-2</v>
      </c>
      <c r="J29" s="1">
        <f>E29-I29</f>
        <v>1.3790085098688006E-2</v>
      </c>
      <c r="K29" s="1">
        <f>E29+I29</f>
        <v>6.8024361225645508E-2</v>
      </c>
      <c r="L29" s="1">
        <f t="shared" si="17"/>
        <v>1.0279658212523</v>
      </c>
      <c r="M29" s="1">
        <f t="shared" si="18"/>
        <v>1.1459788397797708</v>
      </c>
      <c r="O29">
        <f>C29</f>
        <v>27.763999999999999</v>
      </c>
      <c r="P29" s="4">
        <f>6.8763-0.2966595*B29+0.073987544*B29^2-0.0068091249*B29^3+0.000214033624*B29^4</f>
        <v>6.4924713181439992</v>
      </c>
      <c r="Q29">
        <v>38.5</v>
      </c>
      <c r="R29" s="5">
        <f>O29+P29+10*LOG10(10^((-P29-O29)/10)+10^(-Q29/10)+2*10^((-P29-O29-Q29)/20))</f>
        <v>4.1554478277250553</v>
      </c>
      <c r="S29" s="5">
        <f>O29+P29+10*LOG10(10^((-P29-O29)/10)+10^(-Q29/10)-2*10^((-P29-O29-Q29)/20))</f>
        <v>-8.2572957238597837</v>
      </c>
      <c r="T29" s="4">
        <f>O29-R29</f>
        <v>23.608552172274944</v>
      </c>
      <c r="U29" s="4">
        <f>O29-S29</f>
        <v>36.02129572385978</v>
      </c>
      <c r="V29" s="3">
        <f>(1+(10^(O29/20)))/((10^(O29/20))-1)</f>
        <v>1.0853039959221453</v>
      </c>
      <c r="W29" s="3">
        <f t="shared" ref="W29" si="19">(1+(10^((O29-S29)/20)))/((10^((O29-S29)/20))-1)</f>
        <v>1.0321281941209384</v>
      </c>
      <c r="X29" s="3">
        <f t="shared" ref="X29" si="20">(1+(10^((O29-R29)/20)))/((10^((O29-R29)/20))-1)</f>
        <v>1.1413375379177859</v>
      </c>
    </row>
    <row r="30" spans="2:24">
      <c r="B30">
        <v>6</v>
      </c>
      <c r="C30" s="1">
        <v>23.7</v>
      </c>
      <c r="D30" s="3">
        <f>(1+(10^(C30/20)))/((10^(C30/20))-1)</f>
        <v>1.139753862258656</v>
      </c>
      <c r="E30" s="1">
        <f>10^(-C30/20)</f>
        <v>6.5313055264747219E-2</v>
      </c>
      <c r="F30" s="4">
        <f>50*((1+E30)/(1-E30))</f>
        <v>56.987693112932789</v>
      </c>
      <c r="G30" s="7">
        <f>0.027+0.07*E30*E30</f>
        <v>2.7298605663161113E-2</v>
      </c>
      <c r="H30" s="1">
        <f>0.027+0.11*E30*E30</f>
        <v>2.7469237470681751E-2</v>
      </c>
      <c r="I30" s="1">
        <f>G30</f>
        <v>2.7298605663161113E-2</v>
      </c>
      <c r="J30" s="1">
        <f>E30-I30</f>
        <v>3.8014449601586106E-2</v>
      </c>
      <c r="K30" s="1">
        <f>E30+I30</f>
        <v>9.2611660927908332E-2</v>
      </c>
      <c r="L30" s="1">
        <f t="shared" ref="L30:M34" si="21">(1+J30)/(1-J30)</f>
        <v>1.0790333068637925</v>
      </c>
      <c r="M30" s="1">
        <f t="shared" si="21"/>
        <v>1.2041279503825548</v>
      </c>
      <c r="O30">
        <f>C30</f>
        <v>23.7</v>
      </c>
      <c r="P30" s="4">
        <f>6.8763-0.2966595*B30+0.073987544*B30^2-0.0068091249*B30^3+0.000214033624*B30^4</f>
        <v>6.5665111823039997</v>
      </c>
      <c r="Q30">
        <v>37</v>
      </c>
      <c r="R30" s="5">
        <f>O30+P30+10*LOG10(10^((-P30-O30)/10)+10^(-Q30/10)+2*10^((-P30-O30-Q30)/20))</f>
        <v>3.2906361780635152</v>
      </c>
      <c r="S30" s="5">
        <f>O30+P30+10*LOG10(10^((-P30-O30)/10)+10^(-Q30/10)-2*10^((-P30-O30-Q30)/20))</f>
        <v>-5.3618089182077497</v>
      </c>
      <c r="T30" s="4">
        <f>O30-R30</f>
        <v>20.409363821936484</v>
      </c>
      <c r="U30" s="4">
        <f>O30-S30</f>
        <v>29.061808918207749</v>
      </c>
      <c r="V30" s="3">
        <f>(1+(10^(O30/20)))/((10^(O30/20))-1)</f>
        <v>1.139753862258656</v>
      </c>
      <c r="W30" s="3">
        <f>(1+(10^((O30-R30)/20)))/((10^((O30-R30)/20))-1)</f>
        <v>1.2109130607381251</v>
      </c>
      <c r="X30" s="3">
        <f>(1+(10^((O30-S30)/20)))/((10^((O30-S30)/20))-1)</f>
        <v>1.0730324124155743</v>
      </c>
    </row>
    <row r="31" spans="2:24">
      <c r="B31">
        <v>8</v>
      </c>
      <c r="C31" s="1">
        <v>22.390999999999998</v>
      </c>
      <c r="D31" s="3">
        <f>(1+(10^(C31/20)))/((10^(C31/20))-1)</f>
        <v>1.1643531878148918</v>
      </c>
      <c r="E31" s="1">
        <f>10^(-C31/20)</f>
        <v>7.5936399262460971E-2</v>
      </c>
      <c r="F31" s="4">
        <f>50*((1+E31)/(1-E31))</f>
        <v>58.217659390744579</v>
      </c>
      <c r="G31" s="7">
        <f>0.027+0.07*E31*E31</f>
        <v>2.7403643571306351E-2</v>
      </c>
      <c r="H31" s="1">
        <f>0.027+0.11*E31*E31</f>
        <v>2.7634297040624266E-2</v>
      </c>
      <c r="I31" s="1">
        <f>G31</f>
        <v>2.7403643571306351E-2</v>
      </c>
      <c r="J31" s="1">
        <f>E31-I31</f>
        <v>4.8532755691154617E-2</v>
      </c>
      <c r="K31" s="1">
        <f>E31+I31</f>
        <v>0.10334004283376733</v>
      </c>
      <c r="L31" s="1">
        <f t="shared" si="21"/>
        <v>1.1020166610704696</v>
      </c>
      <c r="M31" s="1">
        <f t="shared" si="21"/>
        <v>1.2304999615692864</v>
      </c>
      <c r="O31">
        <f>C31</f>
        <v>22.390999999999998</v>
      </c>
      <c r="P31" s="4">
        <f>6.8763-0.2966595*B31+0.073987544*B31^2-0.0068091249*B31^3+0.000214033624*B31^4</f>
        <v>6.6286365911040015</v>
      </c>
      <c r="Q31">
        <v>38.5</v>
      </c>
      <c r="R31" s="5">
        <f>O31+P31+10*LOG10(10^((-P31-O31)/10)+10^(-Q31/10)+2*10^((-P31-O31-Q31)/20))</f>
        <v>2.5143317753292322</v>
      </c>
      <c r="S31" s="5">
        <f>O31+P31+10*LOG10(10^((-P31-O31)/10)+10^(-Q31/10)-2*10^((-P31-O31-Q31)/20))</f>
        <v>-3.5530231090962054</v>
      </c>
      <c r="T31" s="4">
        <f>O31-R31</f>
        <v>19.876668224670766</v>
      </c>
      <c r="U31" s="4">
        <f>O31-S31</f>
        <v>25.944023109096204</v>
      </c>
      <c r="V31" s="3">
        <f>(1+(10^(O31/20)))/((10^(O31/20))-1)</f>
        <v>1.1643531878148918</v>
      </c>
      <c r="W31" s="3">
        <f t="shared" ref="W31" si="22">(1+(10^((O31-S31)/20)))/((10^((O31-S31)/20))-1)</f>
        <v>1.1062448018640223</v>
      </c>
      <c r="X31" s="3">
        <f t="shared" ref="X31" si="23">(1+(10^((O31-R31)/20)))/((10^((O31-R31)/20))-1)</f>
        <v>1.2257587999579038</v>
      </c>
    </row>
    <row r="32" spans="2:24" ht="14.25" customHeight="1">
      <c r="B32">
        <v>12</v>
      </c>
      <c r="C32" s="1">
        <v>20.6</v>
      </c>
      <c r="D32" s="3">
        <f>(1+(10^(C32/20)))/((10^(C32/20))-1)</f>
        <v>1.2058631248208551</v>
      </c>
      <c r="E32" s="1">
        <f>10^(-C32/20)</f>
        <v>9.3325430079699068E-2</v>
      </c>
      <c r="F32" s="4">
        <f>50*((1+E32)/(1-E32))</f>
        <v>60.293156241042759</v>
      </c>
      <c r="G32" s="7">
        <f t="shared" ref="G32:G34" si="24">0.027+0.07*E32*E32</f>
        <v>2.7609674512969255E-2</v>
      </c>
      <c r="H32" s="1">
        <f>0.027+0.11*E32*E32</f>
        <v>2.7958059948951688E-2</v>
      </c>
      <c r="I32" s="1">
        <f>G32</f>
        <v>2.7609674512969255E-2</v>
      </c>
      <c r="J32" s="1">
        <f>E32-I32</f>
        <v>6.5715755566729817E-2</v>
      </c>
      <c r="K32" s="1">
        <f>E32+I32</f>
        <v>0.12093510459266832</v>
      </c>
      <c r="L32" s="1">
        <f t="shared" si="21"/>
        <v>1.140676150664603</v>
      </c>
      <c r="M32" s="1">
        <f t="shared" si="21"/>
        <v>1.2751448845801781</v>
      </c>
      <c r="O32">
        <f>C32</f>
        <v>20.6</v>
      </c>
      <c r="P32" s="4">
        <f>6.8763-0.2966595*B32+0.073987544*B32^2-0.0068091249*B32^3+0.000214033624*B32^4</f>
        <v>6.6426257360640006</v>
      </c>
      <c r="Q32">
        <v>38</v>
      </c>
      <c r="R32" s="5">
        <f>O32+P32+10*LOG10(10^((-P32-O32)/10)+10^(-Q32/10)+2*10^((-P32-O32-Q32)/20))</f>
        <v>2.2105953252269046</v>
      </c>
      <c r="S32" s="5">
        <f>O32+P32+10*LOG10(10^((-P32-O32)/10)+10^(-Q32/10)-2*10^((-P32-O32-Q32)/20))</f>
        <v>-2.9726552008486635</v>
      </c>
      <c r="T32" s="4">
        <f>O32-R32</f>
        <v>18.389404674773097</v>
      </c>
      <c r="U32" s="4">
        <f>O32-S32</f>
        <v>23.572655200848665</v>
      </c>
      <c r="V32" s="3">
        <f>(1+(10^(O32/20)))/((10^(O32/20))-1)</f>
        <v>1.2058631248208551</v>
      </c>
      <c r="W32" s="3">
        <f>(1+(10^((O32-R32)/20)))/((10^((O32-R32)/20))-1)</f>
        <v>1.27369149619065</v>
      </c>
      <c r="X32" s="3">
        <f>(1+(10^((O32-S32)/20)))/((10^((O32-S32)/20))-1)</f>
        <v>1.1419644130080149</v>
      </c>
    </row>
    <row r="33" spans="2:24">
      <c r="B33">
        <v>15</v>
      </c>
      <c r="C33" s="1">
        <v>17.8</v>
      </c>
      <c r="D33" s="3">
        <f>(1+(10^(C33/20)))/((10^(C33/20))-1)</f>
        <v>1.2957498746864371</v>
      </c>
      <c r="E33" s="1">
        <f>10^(-C33/20)</f>
        <v>0.12882495516931336</v>
      </c>
      <c r="F33" s="4">
        <f>50*((1+E33)/(1-E33))</f>
        <v>64.787493734321842</v>
      </c>
      <c r="G33" s="7">
        <f t="shared" si="24"/>
        <v>2.8161710835206293E-2</v>
      </c>
      <c r="H33" s="1">
        <f>0.027+0.11*E33*E33</f>
        <v>2.8825545598181315E-2</v>
      </c>
      <c r="I33" s="1">
        <f>H33</f>
        <v>2.8825545598181315E-2</v>
      </c>
      <c r="J33" s="1">
        <f>E33-I33</f>
        <v>9.9999409571132042E-2</v>
      </c>
      <c r="K33" s="1">
        <f>E33+I33</f>
        <v>0.15765050076749468</v>
      </c>
      <c r="L33" s="1">
        <f t="shared" si="21"/>
        <v>1.2222207643741221</v>
      </c>
      <c r="M33" s="1">
        <f t="shared" si="21"/>
        <v>1.3743113776671931</v>
      </c>
      <c r="O33">
        <f>C33</f>
        <v>17.8</v>
      </c>
      <c r="P33" s="4">
        <f>6.8763-0.2966595*B33+0.073987544*B33^2-0.0068091249*B33^3+0.000214033624*B33^4</f>
        <v>6.9282605775000015</v>
      </c>
      <c r="Q33">
        <v>37</v>
      </c>
      <c r="R33" s="5">
        <f>O33+P33+10*LOG10(10^((-P33-O33)/10)+10^(-Q33/10)+2*10^((-P33-O33-Q33)/20))</f>
        <v>1.8925792594989304</v>
      </c>
      <c r="S33" s="5">
        <f>O33+P33+10*LOG10(10^((-P33-O33)/10)+10^(-Q33/10)-2*10^((-P33-O33-Q33)/20))</f>
        <v>-2.4232682042611664</v>
      </c>
      <c r="T33" s="4">
        <f>O33-R33</f>
        <v>15.90742074050107</v>
      </c>
      <c r="U33" s="4">
        <f>O33-S33</f>
        <v>20.223268204261167</v>
      </c>
      <c r="V33" s="3">
        <f>(1+(10^(O33/20)))/((10^(O33/20))-1)</f>
        <v>1.2957498746864371</v>
      </c>
      <c r="W33" s="3">
        <f>(1+(10^((O33-R33)/20)))/((10^((O33-R33)/20))-1)</f>
        <v>1.3814843172372826</v>
      </c>
      <c r="X33" s="3">
        <f>(1+(10^((O33-S33)/20)))/((10^((O33-S33)/20))-1)</f>
        <v>1.2159738779445353</v>
      </c>
    </row>
    <row r="34" spans="2:24">
      <c r="B34">
        <v>18</v>
      </c>
      <c r="C34" s="1">
        <v>15</v>
      </c>
      <c r="D34" s="3">
        <f>(1+(10^(C34/20)))/((10^(C34/20))-1)</f>
        <v>1.4325808425575166</v>
      </c>
      <c r="E34" s="1">
        <f>10^(-C34/20)</f>
        <v>0.17782794100389224</v>
      </c>
      <c r="F34" s="4">
        <f>50*((1+E34)/(1-E34))</f>
        <v>71.629042127875834</v>
      </c>
      <c r="G34" s="7">
        <f t="shared" si="24"/>
        <v>2.9213594362117866E-2</v>
      </c>
      <c r="H34" s="1">
        <f>0.027+0.11*E34*E34</f>
        <v>3.0478505426185215E-2</v>
      </c>
      <c r="I34" s="1">
        <f>H34</f>
        <v>3.0478505426185215E-2</v>
      </c>
      <c r="J34" s="1">
        <f>E34-I34</f>
        <v>0.14734943557770702</v>
      </c>
      <c r="K34" s="1">
        <f>E34+I34</f>
        <v>0.20830644643007745</v>
      </c>
      <c r="L34" s="1">
        <f t="shared" si="21"/>
        <v>1.3456267824734098</v>
      </c>
      <c r="M34" s="1">
        <f t="shared" si="21"/>
        <v>1.5262299926297929</v>
      </c>
      <c r="O34">
        <f>C34</f>
        <v>15</v>
      </c>
      <c r="P34" s="4">
        <f>6.8763-0.2966595*B34+0.073987544*B34^2-0.0068091249*B34^3+0.000214033624*B34^4</f>
        <v>8.2659705522239975</v>
      </c>
      <c r="Q34">
        <v>36.5</v>
      </c>
      <c r="R34" s="5">
        <f>O34+P34+10*LOG10(10^((-P34-O34)/10)+10^(-Q34/10)+2*10^((-P34-O34-Q34)/20))</f>
        <v>1.7123803891706153</v>
      </c>
      <c r="S34" s="5">
        <f>O34+P34+10*LOG10(10^((-P34-O34)/10)+10^(-Q34/10)-2*10^((-P34-O34-Q34)/20))</f>
        <v>-2.1349844124766229</v>
      </c>
      <c r="T34" s="4">
        <f>O34-R34</f>
        <v>13.287619610829385</v>
      </c>
      <c r="U34" s="4">
        <f>O34-S34</f>
        <v>17.134984412476623</v>
      </c>
      <c r="V34" s="3">
        <f>(1+(10^(O34/20)))/((10^(O34/20))-1)</f>
        <v>1.4325808425575166</v>
      </c>
      <c r="W34" s="3">
        <f>(1+(10^((O34-R34)/20)))/((10^((O34-R34)/20))-1)</f>
        <v>1.5529101287872726</v>
      </c>
      <c r="X34" s="3">
        <f>(1+(10^((O34-S34)/20)))/((10^((O34-S34)/20))-1)</f>
        <v>1.3230842090585444</v>
      </c>
    </row>
    <row r="35" spans="2:24">
      <c r="C35" t="s">
        <v>40</v>
      </c>
      <c r="E35" s="1"/>
      <c r="P35" s="4"/>
      <c r="T35" s="4"/>
      <c r="U35" s="4"/>
    </row>
    <row r="36" spans="2:24">
      <c r="E36" s="1"/>
      <c r="P36" s="4"/>
      <c r="T36" s="4"/>
      <c r="U36" s="4"/>
    </row>
    <row r="37" spans="2:24">
      <c r="B37" t="s">
        <v>50</v>
      </c>
      <c r="G37" s="6" t="s">
        <v>19</v>
      </c>
      <c r="H37" s="4" t="s">
        <v>20</v>
      </c>
      <c r="I37" s="4" t="s">
        <v>16</v>
      </c>
    </row>
    <row r="38" spans="2:24">
      <c r="B38" t="s">
        <v>1</v>
      </c>
      <c r="C38" t="s">
        <v>0</v>
      </c>
      <c r="D38" s="2" t="s">
        <v>2</v>
      </c>
      <c r="E38" t="s">
        <v>3</v>
      </c>
      <c r="F38" s="4" t="s">
        <v>4</v>
      </c>
      <c r="G38" s="6" t="s">
        <v>15</v>
      </c>
      <c r="H38" s="4" t="s">
        <v>15</v>
      </c>
      <c r="I38" s="4" t="s">
        <v>15</v>
      </c>
      <c r="J38" s="4" t="s">
        <v>17</v>
      </c>
      <c r="K38" s="4" t="s">
        <v>18</v>
      </c>
      <c r="L38" s="4" t="s">
        <v>10</v>
      </c>
      <c r="M38" s="4" t="s">
        <v>9</v>
      </c>
      <c r="O38" t="s">
        <v>6</v>
      </c>
      <c r="P38" t="s">
        <v>38</v>
      </c>
      <c r="Q38" t="s">
        <v>24</v>
      </c>
      <c r="R38" t="s">
        <v>7</v>
      </c>
      <c r="S38" t="s">
        <v>8</v>
      </c>
      <c r="T38" t="s">
        <v>11</v>
      </c>
      <c r="U38" t="s">
        <v>12</v>
      </c>
      <c r="V38" t="s">
        <v>2</v>
      </c>
      <c r="W38" t="s">
        <v>10</v>
      </c>
      <c r="X38" t="s">
        <v>9</v>
      </c>
    </row>
    <row r="39" spans="2:24">
      <c r="B39">
        <v>2</v>
      </c>
      <c r="C39" s="1">
        <v>7.2080000000000002</v>
      </c>
      <c r="D39" s="3">
        <f>(1+(10^(C39/20)))/((10^(C39/20))-1)</f>
        <v>2.5468160205014194</v>
      </c>
      <c r="E39" s="1">
        <f>10^(-C39/20)</f>
        <v>0.43611397139306468</v>
      </c>
      <c r="F39" s="4">
        <f>50*((1+E39)/(1-E39))</f>
        <v>127.34080102507097</v>
      </c>
      <c r="G39" s="7">
        <f>0.027+0.07*E39*E39</f>
        <v>4.0313677723096158E-2</v>
      </c>
      <c r="H39" s="1">
        <f>0.027+0.11*E39*E39</f>
        <v>4.7921493564865393E-2</v>
      </c>
      <c r="I39" s="1">
        <f>G39</f>
        <v>4.0313677723096158E-2</v>
      </c>
      <c r="J39" s="1">
        <f>E39-I39</f>
        <v>0.39580029366996849</v>
      </c>
      <c r="K39" s="1">
        <f>E39+I39</f>
        <v>0.47642764911616087</v>
      </c>
      <c r="L39" s="1">
        <f t="shared" ref="L39:L45" si="25">(1+J39)/(1-J39)</f>
        <v>2.3101638068449204</v>
      </c>
      <c r="M39" s="1">
        <f t="shared" ref="M39:M45" si="26">(1+K39)/(1-K39)</f>
        <v>2.8199114155356235</v>
      </c>
      <c r="O39">
        <f>C39</f>
        <v>7.2080000000000002</v>
      </c>
      <c r="P39" s="4">
        <f>6.8763-0.2966595*B39+0.073987544*B39^2-0.0068091249*B39^3+0.000214033624*B39^4</f>
        <v>6.527882714784</v>
      </c>
      <c r="Q39">
        <v>38</v>
      </c>
      <c r="R39" s="5">
        <f>O39+P39+10*LOG10(10^((-P39-O39)/10)+10^(-Q39/10)+2*10^((-P39-O39-Q39)/20))</f>
        <v>0.51599409482757785</v>
      </c>
      <c r="S39" s="5">
        <f>O39+P39+10*LOG10(10^((-P39-O39)/10)+10^(-Q39/10)-2*10^((-P39-O39-Q39)/20))</f>
        <v>-0.54859407403100313</v>
      </c>
      <c r="T39" s="4">
        <f>O39-R39</f>
        <v>6.6920059051724223</v>
      </c>
      <c r="U39" s="4">
        <f>O39-S39</f>
        <v>7.7565940740310033</v>
      </c>
      <c r="V39" s="3">
        <f>(1+(10^(O39/20)))/((10^(O39/20))-1)</f>
        <v>2.5468160205014194</v>
      </c>
      <c r="W39" s="3">
        <f>(1+(10^((O39-S39)/20)))/((10^((O39-S39)/20))-1)</f>
        <v>2.3865081212503303</v>
      </c>
      <c r="X39" s="3">
        <f>(1+(10^((O39-R39)/20)))/((10^((O39-R39)/20))-1)</f>
        <v>2.7230551210381937</v>
      </c>
    </row>
    <row r="40" spans="2:24">
      <c r="B40">
        <v>4</v>
      </c>
      <c r="C40" s="1">
        <v>5.399</v>
      </c>
      <c r="D40" s="3">
        <f>(1+(10^(C40/20)))/((10^(C40/20))-1)</f>
        <v>3.3205281261493065</v>
      </c>
      <c r="E40" s="1">
        <f>10^(-C40/20)</f>
        <v>0.53709362799993843</v>
      </c>
      <c r="F40" s="4">
        <f>50*((1+E40)/(1-E40))</f>
        <v>166.02640630746532</v>
      </c>
      <c r="G40" s="7">
        <f>0.027+0.07*E40*E40</f>
        <v>4.7192869566669536E-2</v>
      </c>
      <c r="H40" s="1">
        <f>0.027+0.11*E40*E40</f>
        <v>5.8731652176194984E-2</v>
      </c>
      <c r="I40" s="1">
        <f>G40</f>
        <v>4.7192869566669536E-2</v>
      </c>
      <c r="J40" s="1">
        <f>E40-I40</f>
        <v>0.48990075843326891</v>
      </c>
      <c r="K40" s="1">
        <f>E40+I40</f>
        <v>0.584286497566608</v>
      </c>
      <c r="L40" s="1">
        <f t="shared" si="25"/>
        <v>2.9208056727493883</v>
      </c>
      <c r="M40" s="1">
        <f t="shared" si="26"/>
        <v>3.8110056283785285</v>
      </c>
      <c r="O40">
        <f>C40</f>
        <v>5.399</v>
      </c>
      <c r="P40" s="4">
        <f>6.8763-0.2966595*B40+0.073987544*B40^2-0.0068091249*B40^3+0.000214033624*B40^4</f>
        <v>6.4924713181439992</v>
      </c>
      <c r="Q40">
        <v>38.5</v>
      </c>
      <c r="R40" s="5">
        <f>O40+P40+10*LOG10(10^((-P40-O40)/10)+10^(-Q40/10)+2*10^((-P40-O40-Q40)/20))</f>
        <v>0.39667359562148796</v>
      </c>
      <c r="S40" s="5">
        <f>O40+P40+10*LOG10(10^((-P40-O40)/10)+10^(-Q40/10)-2*10^((-P40-O40-Q40)/20))</f>
        <v>-0.41565970616190206</v>
      </c>
      <c r="T40" s="4">
        <f>O40-R40</f>
        <v>5.0023264043785121</v>
      </c>
      <c r="U40" s="4">
        <f>O40-S40</f>
        <v>5.8146597061619021</v>
      </c>
      <c r="V40" s="3">
        <f>(1+(10^(O40/20)))/((10^(O40/20))-1)</f>
        <v>3.3205281261493065</v>
      </c>
      <c r="W40" s="3">
        <f t="shared" ref="W40:W45" si="27">(1+(10^((O40-S40)/20)))/((10^((O40-S40)/20))-1)</f>
        <v>3.0983314850926122</v>
      </c>
      <c r="X40" s="3">
        <f t="shared" ref="X40:X45" si="28">(1+(10^((O40-R40)/20)))/((10^((O40-R40)/20))-1)</f>
        <v>3.5681992923623382</v>
      </c>
    </row>
    <row r="41" spans="2:24">
      <c r="B41">
        <v>6</v>
      </c>
      <c r="C41" s="1">
        <v>22.88</v>
      </c>
      <c r="D41" s="3">
        <f>(1+(10^(C41/20)))/((10^(C41/20))-1)</f>
        <v>1.1546602852372416</v>
      </c>
      <c r="E41" s="1">
        <f>10^(-C41/20)</f>
        <v>7.1779429127136182E-2</v>
      </c>
      <c r="F41" s="4">
        <f>50*((1+E41)/(1-E41))</f>
        <v>57.733014261862081</v>
      </c>
      <c r="G41" s="7">
        <f>0.027+0.07*E41*E41</f>
        <v>2.7360660051207228E-2</v>
      </c>
      <c r="H41" s="1">
        <f>0.027+0.11*E41*E41</f>
        <v>2.7566751509039932E-2</v>
      </c>
      <c r="I41" s="1">
        <f>G41</f>
        <v>2.7360660051207228E-2</v>
      </c>
      <c r="J41" s="1">
        <f>E41-I41</f>
        <v>4.4418769075928954E-2</v>
      </c>
      <c r="K41" s="1">
        <f>E41+I41</f>
        <v>9.914008917834341E-2</v>
      </c>
      <c r="L41" s="1">
        <f t="shared" si="25"/>
        <v>1.0929670186865745</v>
      </c>
      <c r="M41" s="1">
        <f t="shared" si="26"/>
        <v>1.2201010123492335</v>
      </c>
      <c r="O41">
        <f>C41</f>
        <v>22.88</v>
      </c>
      <c r="P41" s="4">
        <f>6.8763-0.2966595*B41+0.073987544*B41^2-0.0068091249*B41^3+0.000214033624*B41^4</f>
        <v>6.5665111823039997</v>
      </c>
      <c r="Q41">
        <v>37</v>
      </c>
      <c r="R41" s="5">
        <f>O41+P41+10*LOG10(10^((-P41-O41)/10)+10^(-Q41/10)+2*10^((-P41-O41-Q41)/20))</f>
        <v>3.040306652992264</v>
      </c>
      <c r="S41" s="5">
        <f>O41+P41+10*LOG10(10^((-P41-O41)/10)+10^(-Q41/10)-2*10^((-P41-O41-Q41)/20))</f>
        <v>-4.7180864391975348</v>
      </c>
      <c r="T41" s="4">
        <f>O41-R41</f>
        <v>19.839693347007735</v>
      </c>
      <c r="U41" s="4">
        <f>O41-S41</f>
        <v>27.598086439197534</v>
      </c>
      <c r="V41" s="3">
        <f>(1+(10^(O41/20)))/((10^(O41/20))-1)</f>
        <v>1.1546602852372416</v>
      </c>
      <c r="W41" s="3">
        <f t="shared" si="27"/>
        <v>1.0870206711851764</v>
      </c>
      <c r="X41" s="3">
        <f t="shared" si="28"/>
        <v>1.2268311068818027</v>
      </c>
    </row>
    <row r="42" spans="2:24">
      <c r="B42">
        <v>8</v>
      </c>
      <c r="C42" s="1">
        <v>1.6559999999999999</v>
      </c>
      <c r="D42" s="3">
        <f>(1+(10^(C42/20)))/((10^(C42/20))-1)</f>
        <v>10.52196131760385</v>
      </c>
      <c r="E42" s="1">
        <f>10^(-C42/20)</f>
        <v>0.8264184417157957</v>
      </c>
      <c r="F42" s="4">
        <f>50*((1+E42)/(1-E42))</f>
        <v>526.09806588019251</v>
      </c>
      <c r="G42" s="7">
        <f>0.027+0.07*E42*E42</f>
        <v>7.4807720856557486E-2</v>
      </c>
      <c r="H42" s="1">
        <f>0.027+0.11*E42*E42</f>
        <v>0.10212641848887605</v>
      </c>
      <c r="I42" s="1">
        <f>G42</f>
        <v>7.4807720856557486E-2</v>
      </c>
      <c r="J42" s="1">
        <f>E42-I42</f>
        <v>0.75161072085923819</v>
      </c>
      <c r="K42" s="1">
        <f>E42+I42</f>
        <v>0.90122616257235322</v>
      </c>
      <c r="L42" s="1">
        <f t="shared" si="25"/>
        <v>7.051877306937242</v>
      </c>
      <c r="M42" s="1">
        <f t="shared" si="26"/>
        <v>19.248276791564649</v>
      </c>
      <c r="O42">
        <f>C42</f>
        <v>1.6559999999999999</v>
      </c>
      <c r="P42" s="4">
        <f>6.8763-0.2966595*B42+0.073987544*B42^2-0.0068091249*B42^3+0.000214033624*B42^4</f>
        <v>6.6286365911040015</v>
      </c>
      <c r="Q42">
        <v>38.5</v>
      </c>
      <c r="R42" s="5">
        <f>O42+P42+10*LOG10(10^((-P42-O42)/10)+10^(-Q42/10)+2*10^((-P42-O42-Q42)/20))</f>
        <v>0.26389553651292452</v>
      </c>
      <c r="S42" s="5">
        <f>O42+P42+10*LOG10(10^((-P42-O42)/10)+10^(-Q42/10)-2*10^((-P42-O42-Q42)/20))</f>
        <v>-0.27216514006407522</v>
      </c>
      <c r="T42" s="4">
        <f>O42-R42</f>
        <v>1.3921044634870754</v>
      </c>
      <c r="U42" s="4">
        <f>O42-S42</f>
        <v>1.9281651400640751</v>
      </c>
      <c r="V42" s="3">
        <f>(1+(10^(O42/20)))/((10^(O42/20))-1)</f>
        <v>10.52196131760385</v>
      </c>
      <c r="W42" s="3">
        <f t="shared" si="27"/>
        <v>9.0464549505402232</v>
      </c>
      <c r="X42" s="3">
        <f t="shared" si="28"/>
        <v>12.50549057572584</v>
      </c>
    </row>
    <row r="43" spans="2:24">
      <c r="B43">
        <v>12</v>
      </c>
      <c r="C43" s="1">
        <v>2.33</v>
      </c>
      <c r="D43" s="3">
        <f>(1+(10^(C43/20)))/((10^(C43/20))-1)</f>
        <v>7.5003542596169757</v>
      </c>
      <c r="E43" s="1">
        <f>10^(-C43/20)</f>
        <v>0.76471568843883453</v>
      </c>
      <c r="F43" s="4">
        <f>50*((1+E43)/(1-E43))</f>
        <v>375.01771298084867</v>
      </c>
      <c r="G43" s="7">
        <f t="shared" ref="G43:G45" si="29">0.027+0.07*E43*E43</f>
        <v>6.7935305890113651E-2</v>
      </c>
      <c r="H43" s="1">
        <f>0.027+0.11*E43*E43</f>
        <v>9.132690925589286E-2</v>
      </c>
      <c r="I43" s="1">
        <f>G43</f>
        <v>6.7935305890113651E-2</v>
      </c>
      <c r="J43" s="1">
        <f>E43-I43</f>
        <v>0.69678038254872088</v>
      </c>
      <c r="K43" s="1">
        <f>E43+I43</f>
        <v>0.83265099432894818</v>
      </c>
      <c r="L43" s="1">
        <f t="shared" si="25"/>
        <v>5.595879306263412</v>
      </c>
      <c r="M43" s="1">
        <f t="shared" si="26"/>
        <v>10.951071904970163</v>
      </c>
      <c r="O43">
        <f>C43</f>
        <v>2.33</v>
      </c>
      <c r="P43" s="4">
        <f>6.8763-0.2966595*B43+0.073987544*B43^2-0.0068091249*B43^3+0.000214033624*B43^4</f>
        <v>6.6426257360640006</v>
      </c>
      <c r="Q43">
        <v>38</v>
      </c>
      <c r="R43" s="5">
        <f>O43+P43+10*LOG10(10^((-P43-O43)/10)+10^(-Q43/10)+2*10^((-P43-O43-Q43)/20))</f>
        <v>0.30190896377753162</v>
      </c>
      <c r="S43" s="5">
        <f>O43+P43+10*LOG10(10^((-P43-O43)/10)+10^(-Q43/10)-2*10^((-P43-O43-Q43)/20))</f>
        <v>-0.31278194597038755</v>
      </c>
      <c r="T43" s="4">
        <f>O43-R43</f>
        <v>2.0280910362224684</v>
      </c>
      <c r="U43" s="4">
        <f>O43-S43</f>
        <v>2.6427819459703876</v>
      </c>
      <c r="V43" s="3">
        <f>(1+(10^(O43/20)))/((10^(O43/20))-1)</f>
        <v>7.5003542596169757</v>
      </c>
      <c r="W43" s="3">
        <f t="shared" si="27"/>
        <v>6.6239248840454836</v>
      </c>
      <c r="X43" s="3">
        <f t="shared" si="28"/>
        <v>8.6044617268300154</v>
      </c>
    </row>
    <row r="44" spans="2:24">
      <c r="B44">
        <v>15</v>
      </c>
      <c r="C44" s="1">
        <v>1.502</v>
      </c>
      <c r="D44" s="3">
        <f>(1+(10^(C44/20)))/((10^(C44/20))-1)</f>
        <v>11.594571500532192</v>
      </c>
      <c r="E44" s="1">
        <f>10^(-C44/20)</f>
        <v>0.84120142555739286</v>
      </c>
      <c r="F44" s="4">
        <f>50*((1+E44)/(1-E44))</f>
        <v>579.72857502660963</v>
      </c>
      <c r="G44" s="7">
        <f t="shared" si="29"/>
        <v>7.6533388685185305E-2</v>
      </c>
      <c r="H44" s="1">
        <f>0.027+0.11*E44*E44</f>
        <v>0.10483818221957689</v>
      </c>
      <c r="I44" s="1">
        <f>H44</f>
        <v>0.10483818221957689</v>
      </c>
      <c r="J44" s="1">
        <f>E44-I44</f>
        <v>0.736363243337816</v>
      </c>
      <c r="K44" s="1">
        <f>E44+I44</f>
        <v>0.94603960777696972</v>
      </c>
      <c r="L44" s="1">
        <f t="shared" si="25"/>
        <v>6.5861955871454532</v>
      </c>
      <c r="M44" s="1">
        <f t="shared" si="26"/>
        <v>36.064222805007716</v>
      </c>
      <c r="O44">
        <f>C44</f>
        <v>1.502</v>
      </c>
      <c r="P44" s="4">
        <f>6.8763-0.2966595*B44+0.073987544*B44^2-0.0068091249*B44^3+0.000214033624*B44^4</f>
        <v>6.9282605775000015</v>
      </c>
      <c r="Q44">
        <v>37</v>
      </c>
      <c r="R44" s="5">
        <f>O44+P44+10*LOG10(10^((-P44-O44)/10)+10^(-Q44/10)+2*10^((-P44-O44-Q44)/20))</f>
        <v>0.31794677197721555</v>
      </c>
      <c r="S44" s="5">
        <f>O44+P44+10*LOG10(10^((-P44-O44)/10)+10^(-Q44/10)-2*10^((-P44-O44-Q44)/20))</f>
        <v>-0.33002887075966214</v>
      </c>
      <c r="T44" s="4">
        <f>O44-R44</f>
        <v>1.1840532280227845</v>
      </c>
      <c r="U44" s="4">
        <f>O44-S44</f>
        <v>1.8320288707596621</v>
      </c>
      <c r="V44" s="3">
        <f>(1+(10^(O44/20)))/((10^(O44/20))-1)</f>
        <v>11.594571500532192</v>
      </c>
      <c r="W44" s="3">
        <f t="shared" si="27"/>
        <v>9.517390152258649</v>
      </c>
      <c r="X44" s="3">
        <f t="shared" si="28"/>
        <v>14.694164131232336</v>
      </c>
    </row>
    <row r="45" spans="2:24">
      <c r="B45">
        <v>18</v>
      </c>
      <c r="C45" s="1">
        <v>2.1349999999999998</v>
      </c>
      <c r="D45" s="3">
        <f>(1+(10^(C45/20)))/((10^(C45/20))-1)</f>
        <v>8.1775903997318373</v>
      </c>
      <c r="E45" s="1">
        <f>10^(-C45/20)</f>
        <v>0.7820778752494294</v>
      </c>
      <c r="F45" s="4">
        <f>50*((1+E45)/(1-E45))</f>
        <v>408.87951998659179</v>
      </c>
      <c r="G45" s="7">
        <f t="shared" si="29"/>
        <v>6.9815206206826352E-2</v>
      </c>
      <c r="H45" s="1">
        <f>0.027+0.11*E45*E45</f>
        <v>9.4281038325012834E-2</v>
      </c>
      <c r="I45" s="1">
        <f>H45</f>
        <v>9.4281038325012834E-2</v>
      </c>
      <c r="J45" s="1">
        <f>E45-I45</f>
        <v>0.68779683692441651</v>
      </c>
      <c r="K45" s="1">
        <f>E45+I45</f>
        <v>0.87635891357444229</v>
      </c>
      <c r="L45" s="1">
        <f t="shared" si="25"/>
        <v>5.4060850002208518</v>
      </c>
      <c r="M45" s="1">
        <f t="shared" si="26"/>
        <v>15.17585268634927</v>
      </c>
      <c r="O45">
        <f>C45</f>
        <v>2.1349999999999998</v>
      </c>
      <c r="P45" s="4">
        <f>6.8763-0.2966595*B45+0.073987544*B45^2-0.0068091249*B45^3+0.000214033624*B45^4</f>
        <v>8.2659705522239975</v>
      </c>
      <c r="Q45">
        <v>36.5</v>
      </c>
      <c r="R45" s="5">
        <f>O45+P45+10*LOG10(10^((-P45-O45)/10)+10^(-Q45/10)+2*10^((-P45-O45-Q45)/20))</f>
        <v>0.4200672565614898</v>
      </c>
      <c r="S45" s="5">
        <f>O45+P45+10*LOG10(10^((-P45-O45)/10)+10^(-Q45/10)-2*10^((-P45-O45-Q45)/20))</f>
        <v>-0.44141957613717331</v>
      </c>
      <c r="T45" s="4">
        <f>O45-R45</f>
        <v>1.71493274343851</v>
      </c>
      <c r="U45" s="4">
        <f>O45-S45</f>
        <v>2.5764195761371731</v>
      </c>
      <c r="V45" s="3">
        <f>(1+(10^(O45/20)))/((10^(O45/20))-1)</f>
        <v>8.1775903997318373</v>
      </c>
      <c r="W45" s="3">
        <f t="shared" si="27"/>
        <v>6.7919694415640972</v>
      </c>
      <c r="X45" s="3">
        <f t="shared" si="28"/>
        <v>10.162599744182227</v>
      </c>
    </row>
    <row r="46" spans="2:24">
      <c r="D46" s="3"/>
      <c r="E46" s="1"/>
      <c r="P46" s="4"/>
      <c r="R46" s="5"/>
      <c r="S46" s="5"/>
      <c r="T46" s="4"/>
      <c r="U46" s="4"/>
      <c r="V46" s="3"/>
      <c r="W46" s="3"/>
      <c r="X46" s="3"/>
    </row>
    <row r="47" spans="2:24">
      <c r="B47" t="s">
        <v>51</v>
      </c>
      <c r="G47" s="6" t="s">
        <v>19</v>
      </c>
      <c r="H47" s="4" t="s">
        <v>20</v>
      </c>
      <c r="I47" s="4" t="s">
        <v>16</v>
      </c>
    </row>
    <row r="48" spans="2:24">
      <c r="B48" t="s">
        <v>1</v>
      </c>
      <c r="C48" t="s">
        <v>0</v>
      </c>
      <c r="D48" s="2" t="s">
        <v>2</v>
      </c>
      <c r="E48" t="s">
        <v>3</v>
      </c>
      <c r="F48" s="4" t="s">
        <v>4</v>
      </c>
      <c r="G48" s="6" t="s">
        <v>15</v>
      </c>
      <c r="H48" s="4" t="s">
        <v>15</v>
      </c>
      <c r="I48" s="4" t="s">
        <v>15</v>
      </c>
      <c r="J48" s="4" t="s">
        <v>17</v>
      </c>
      <c r="K48" s="4" t="s">
        <v>18</v>
      </c>
      <c r="L48" s="4" t="s">
        <v>10</v>
      </c>
      <c r="M48" s="4" t="s">
        <v>9</v>
      </c>
      <c r="O48" t="s">
        <v>6</v>
      </c>
      <c r="P48" t="s">
        <v>38</v>
      </c>
      <c r="Q48" t="s">
        <v>24</v>
      </c>
      <c r="R48" t="s">
        <v>7</v>
      </c>
      <c r="S48" t="s">
        <v>8</v>
      </c>
      <c r="T48" t="s">
        <v>11</v>
      </c>
      <c r="U48" t="s">
        <v>12</v>
      </c>
      <c r="V48" t="s">
        <v>2</v>
      </c>
      <c r="W48" t="s">
        <v>10</v>
      </c>
      <c r="X48" t="s">
        <v>9</v>
      </c>
    </row>
    <row r="49" spans="2:24">
      <c r="B49">
        <v>2</v>
      </c>
      <c r="C49" s="1">
        <v>7.4189999999999996</v>
      </c>
      <c r="D49" s="3">
        <f>(1+(10^(C49/20)))/((10^(C49/20))-1)</f>
        <v>2.4821815927628261</v>
      </c>
      <c r="E49" s="1">
        <f>10^(-C49/20)</f>
        <v>0.42564741478253476</v>
      </c>
      <c r="F49" s="4">
        <f>50*((1+E49)/(1-E49))</f>
        <v>124.10907963814131</v>
      </c>
      <c r="G49" s="7">
        <f>0.027+0.07*E49*E49</f>
        <v>3.9682300519773867E-2</v>
      </c>
      <c r="H49" s="1">
        <f>0.027+0.11*E49*E49</f>
        <v>4.6929329388216076E-2</v>
      </c>
      <c r="I49" s="1">
        <f>G49</f>
        <v>3.9682300519773867E-2</v>
      </c>
      <c r="J49" s="1">
        <f>E49-I49</f>
        <v>0.38596511426276092</v>
      </c>
      <c r="K49" s="1">
        <f>E49+I49</f>
        <v>0.4653297153023086</v>
      </c>
      <c r="L49" s="1">
        <f t="shared" ref="L49:L55" si="30">(1+J49)/(1-J49)</f>
        <v>2.2571439285549815</v>
      </c>
      <c r="M49" s="1">
        <f t="shared" ref="M49:M55" si="31">(1+K49)/(1-K49)</f>
        <v>2.7406230666640141</v>
      </c>
      <c r="O49">
        <f>C49</f>
        <v>7.4189999999999996</v>
      </c>
      <c r="P49" s="4">
        <f>6.8763-0.2966595*B49+0.073987544*B49^2-0.0068091249*B49^3+0.000214033624*B49^4</f>
        <v>6.527882714784</v>
      </c>
      <c r="Q49">
        <v>38</v>
      </c>
      <c r="R49" s="5">
        <f>O49+P49+10*LOG10(10^((-P49-O49)/10)+10^(-Q49/10)+2*10^((-P49-O49-Q49)/20))</f>
        <v>0.52830400207694694</v>
      </c>
      <c r="S49" s="5">
        <f>O49+P49+10*LOG10(10^((-P49-O49)/10)+10^(-Q49/10)-2*10^((-P49-O49-Q49)/20))</f>
        <v>-0.56253014432737558</v>
      </c>
      <c r="T49" s="4">
        <f>O49-R49</f>
        <v>6.8906959979230527</v>
      </c>
      <c r="U49" s="4">
        <f>O49-S49</f>
        <v>7.9815301443273752</v>
      </c>
      <c r="V49" s="3">
        <f>(1+(10^(O49/20)))/((10^(O49/20))-1)</f>
        <v>2.4821815927628261</v>
      </c>
      <c r="W49" s="3">
        <f>(1+(10^((O49-S49)/20)))/((10^((O49-S49)/20))-1)</f>
        <v>2.3275357377616053</v>
      </c>
      <c r="X49" s="3">
        <f>(1+(10^((O49-R49)/20)))/((10^((O49-R49)/20))-1)</f>
        <v>2.6519022479321839</v>
      </c>
    </row>
    <row r="50" spans="2:24">
      <c r="B50">
        <v>4</v>
      </c>
      <c r="C50" s="1">
        <v>5.508</v>
      </c>
      <c r="D50" s="3">
        <f>(1+(10^(C50/20)))/((10^(C50/20))-1)</f>
        <v>3.2589048450182232</v>
      </c>
      <c r="E50" s="1">
        <f>10^(-C50/20)</f>
        <v>0.53039570669453584</v>
      </c>
      <c r="F50" s="4">
        <f>50*((1+E50)/(1-E50))</f>
        <v>162.94524225091115</v>
      </c>
      <c r="G50" s="7">
        <f>0.027+0.07*E50*E50</f>
        <v>4.6692372397599727E-2</v>
      </c>
      <c r="H50" s="1">
        <f>0.027+0.11*E50*E50</f>
        <v>5.7945156624799571E-2</v>
      </c>
      <c r="I50" s="1">
        <f>G50</f>
        <v>4.6692372397599727E-2</v>
      </c>
      <c r="J50" s="1">
        <f>E50-I50</f>
        <v>0.48370333429693613</v>
      </c>
      <c r="K50" s="1">
        <f>E50+I50</f>
        <v>0.57708807909213555</v>
      </c>
      <c r="L50" s="1">
        <f t="shared" si="30"/>
        <v>2.8737418481610995</v>
      </c>
      <c r="M50" s="1">
        <f t="shared" si="31"/>
        <v>3.7291171071900804</v>
      </c>
      <c r="O50">
        <f>C50</f>
        <v>5.508</v>
      </c>
      <c r="P50" s="4">
        <f>6.8763-0.2966595*B50+0.073987544*B50^2-0.0068091249*B50^3+0.000214033624*B50^4</f>
        <v>6.4924713181439992</v>
      </c>
      <c r="Q50">
        <v>38.5</v>
      </c>
      <c r="R50" s="5">
        <f>O50+P50+10*LOG10(10^((-P50-O50)/10)+10^(-Q50/10)+2*10^((-P50-O50-Q50)/20))</f>
        <v>0.40156881148539902</v>
      </c>
      <c r="S50" s="5">
        <f>O50+P50+10*LOG10(10^((-P50-O50)/10)+10^(-Q50/10)-2*10^((-P50-O50-Q50)/20))</f>
        <v>-0.4210380102005935</v>
      </c>
      <c r="T50" s="4">
        <f>O50-R50</f>
        <v>5.106431188514601</v>
      </c>
      <c r="U50" s="4">
        <f>O50-S50</f>
        <v>5.9290380102005935</v>
      </c>
      <c r="V50" s="3">
        <f>(1+(10^(O50/20)))/((10^(O50/20))-1)</f>
        <v>3.2589048450182232</v>
      </c>
      <c r="W50" s="3">
        <f t="shared" ref="W50:W55" si="32">(1+(10^((O50-S50)/20)))/((10^((O50-S50)/20))-1)</f>
        <v>3.042842856876419</v>
      </c>
      <c r="X50" s="3">
        <f t="shared" ref="X50:X55" si="33">(1+(10^((O50-R50)/20)))/((10^((O50-R50)/20))-1)</f>
        <v>3.4993647719608578</v>
      </c>
    </row>
    <row r="51" spans="2:24">
      <c r="B51">
        <v>6</v>
      </c>
      <c r="C51" s="1">
        <v>24.78</v>
      </c>
      <c r="D51" s="3">
        <f>(1+(10^(C51/20)))/((10^(C51/20))-1)</f>
        <v>1.1224137046273142</v>
      </c>
      <c r="E51" s="1">
        <f>10^(-C51/20)</f>
        <v>5.7676646339225056E-2</v>
      </c>
      <c r="F51" s="4">
        <f>50*((1+E51)/(1-E51))</f>
        <v>56.120685231365705</v>
      </c>
      <c r="G51" s="7">
        <f>0.027+0.07*E51*E51</f>
        <v>2.7232861687305803E-2</v>
      </c>
      <c r="H51" s="1">
        <f>0.027+0.11*E51*E51</f>
        <v>2.7365925508623403E-2</v>
      </c>
      <c r="I51" s="1">
        <f>G51</f>
        <v>2.7232861687305803E-2</v>
      </c>
      <c r="J51" s="1">
        <f>E51-I51</f>
        <v>3.0443784651919253E-2</v>
      </c>
      <c r="K51" s="1">
        <f>E51+I51</f>
        <v>8.4909508026530855E-2</v>
      </c>
      <c r="L51" s="1">
        <f t="shared" si="30"/>
        <v>1.0627994213641125</v>
      </c>
      <c r="M51" s="1">
        <f t="shared" si="31"/>
        <v>1.1855761998868906</v>
      </c>
      <c r="O51">
        <f>C51</f>
        <v>24.78</v>
      </c>
      <c r="P51" s="4">
        <f>6.8763-0.2966595*B51+0.073987544*B51^2-0.0068091249*B51^3+0.000214033624*B51^4</f>
        <v>6.5665111823039997</v>
      </c>
      <c r="Q51">
        <v>37</v>
      </c>
      <c r="R51" s="5">
        <f>O51+P51+10*LOG10(10^((-P51-O51)/10)+10^(-Q51/10)+2*10^((-P51-O51-Q51)/20))</f>
        <v>3.6459275594637148</v>
      </c>
      <c r="S51" s="5">
        <f>O51+P51+10*LOG10(10^((-P51-O51)/10)+10^(-Q51/10)-2*10^((-P51-O51-Q51)/20))</f>
        <v>-6.403914400927377</v>
      </c>
      <c r="T51" s="4">
        <f>O51-R51</f>
        <v>21.134072440536286</v>
      </c>
      <c r="U51" s="4">
        <f>O51-S51</f>
        <v>31.183914400927378</v>
      </c>
      <c r="V51" s="3">
        <f>(1+(10^(O51/20)))/((10^(O51/20))-1)</f>
        <v>1.1224137046273142</v>
      </c>
      <c r="W51" s="3">
        <f t="shared" si="32"/>
        <v>1.0567526769137503</v>
      </c>
      <c r="X51" s="3">
        <f t="shared" si="33"/>
        <v>1.1924053924208726</v>
      </c>
    </row>
    <row r="52" spans="2:24">
      <c r="B52">
        <v>8</v>
      </c>
      <c r="C52" s="1">
        <v>1.7210000000000001</v>
      </c>
      <c r="D52" s="3">
        <f>(1+(10^(C52/20)))/((10^(C52/20))-1)</f>
        <v>10.127004386652166</v>
      </c>
      <c r="E52" s="1">
        <f>10^(-C52/20)</f>
        <v>0.82025710330453561</v>
      </c>
      <c r="F52" s="4">
        <f>50*((1+E52)/(1-E52))</f>
        <v>506.35021933260845</v>
      </c>
      <c r="G52" s="7">
        <f>0.027+0.07*E52*E52</f>
        <v>7.4097520086508342E-2</v>
      </c>
      <c r="H52" s="1">
        <f>0.027+0.11*E52*E52</f>
        <v>0.10101038870737024</v>
      </c>
      <c r="I52" s="1">
        <f>G52</f>
        <v>7.4097520086508342E-2</v>
      </c>
      <c r="J52" s="1">
        <f>E52-I52</f>
        <v>0.74615958321802722</v>
      </c>
      <c r="K52" s="1">
        <f>E52+I52</f>
        <v>0.89435462339104399</v>
      </c>
      <c r="L52" s="1">
        <f t="shared" si="30"/>
        <v>6.8789659477979388</v>
      </c>
      <c r="M52" s="1">
        <f t="shared" si="31"/>
        <v>17.931259125545598</v>
      </c>
      <c r="O52">
        <f>C52</f>
        <v>1.7210000000000001</v>
      </c>
      <c r="P52" s="4">
        <f>6.8763-0.2966595*B52+0.073987544*B52^2-0.0068091249*B52^3+0.000214033624*B52^4</f>
        <v>6.6286365911040015</v>
      </c>
      <c r="Q52">
        <v>38.5</v>
      </c>
      <c r="R52" s="5">
        <f>O52+P52+10*LOG10(10^((-P52-O52)/10)+10^(-Q52/10)+2*10^((-P52-O52-Q52)/20))</f>
        <v>0.26584775138291405</v>
      </c>
      <c r="S52" s="5">
        <f>O52+P52+10*LOG10(10^((-P52-O52)/10)+10^(-Q52/10)-2*10^((-P52-O52-Q52)/20))</f>
        <v>-0.2742421155942214</v>
      </c>
      <c r="T52" s="4">
        <f>O52-R52</f>
        <v>1.455152248617086</v>
      </c>
      <c r="U52" s="4">
        <f>O52-S52</f>
        <v>1.9952421155942215</v>
      </c>
      <c r="V52" s="3">
        <f>(1+(10^(O52/20)))/((10^(O52/20))-1)</f>
        <v>10.127004386652166</v>
      </c>
      <c r="W52" s="3">
        <f t="shared" si="32"/>
        <v>8.7448536366581582</v>
      </c>
      <c r="X52" s="3">
        <f t="shared" si="33"/>
        <v>11.966026729861641</v>
      </c>
    </row>
    <row r="53" spans="2:24">
      <c r="B53">
        <v>12</v>
      </c>
      <c r="C53" s="1">
        <v>6.117</v>
      </c>
      <c r="D53" s="3">
        <f>(1+(10^(C53/20)))/((10^(C53/20))-1)</f>
        <v>2.9563335144701584</v>
      </c>
      <c r="E53" s="1">
        <f>10^(-C53/20)</f>
        <v>0.49448144533693467</v>
      </c>
      <c r="F53" s="4">
        <f>50*((1+E53)/(1-E53))</f>
        <v>147.81667572350787</v>
      </c>
      <c r="G53" s="7">
        <f t="shared" ref="G53:G55" si="34">0.027+0.07*E53*E53</f>
        <v>4.4115832984775269E-2</v>
      </c>
      <c r="H53" s="1">
        <f>0.027+0.11*E53*E53</f>
        <v>5.3896308976075433E-2</v>
      </c>
      <c r="I53" s="1">
        <f>G53</f>
        <v>4.4115832984775269E-2</v>
      </c>
      <c r="J53" s="1">
        <f>E53-I53</f>
        <v>0.45036561235215938</v>
      </c>
      <c r="K53" s="1">
        <f>E53+I53</f>
        <v>0.53859727832170989</v>
      </c>
      <c r="L53" s="1">
        <f t="shared" si="30"/>
        <v>2.6387825160630802</v>
      </c>
      <c r="M53" s="1">
        <f t="shared" si="31"/>
        <v>3.3346081547271114</v>
      </c>
      <c r="O53">
        <f>C53</f>
        <v>6.117</v>
      </c>
      <c r="P53" s="4">
        <f>6.8763-0.2966595*B53+0.073987544*B53^2-0.0068091249*B53^3+0.000214033624*B53^4</f>
        <v>6.6426257360640006</v>
      </c>
      <c r="Q53">
        <v>38</v>
      </c>
      <c r="R53" s="5">
        <f>O53+P53+10*LOG10(10^((-P53-O53)/10)+10^(-Q53/10)+2*10^((-P53-O53-Q53)/20))</f>
        <v>0.46257265567733263</v>
      </c>
      <c r="S53" s="5">
        <f>O53+P53+10*LOG10(10^((-P53-O53)/10)+10^(-Q53/10)-2*10^((-P53-O53-Q53)/20))</f>
        <v>-0.48859985260229699</v>
      </c>
      <c r="T53" s="4">
        <f>O53-R53</f>
        <v>5.6544273443226674</v>
      </c>
      <c r="U53" s="4">
        <f>O53-S53</f>
        <v>6.605599852602297</v>
      </c>
      <c r="V53" s="3">
        <f>(1+(10^(O53/20)))/((10^(O53/20))-1)</f>
        <v>2.9563335144701584</v>
      </c>
      <c r="W53" s="3">
        <f t="shared" si="32"/>
        <v>2.7554008749750558</v>
      </c>
      <c r="X53" s="3">
        <f t="shared" si="33"/>
        <v>3.1799834342669762</v>
      </c>
    </row>
    <row r="54" spans="2:24">
      <c r="B54">
        <v>15</v>
      </c>
      <c r="C54" s="1">
        <v>1.244</v>
      </c>
      <c r="D54" s="3">
        <f>(1+(10^(C54/20)))/((10^(C54/20))-1)</f>
        <v>13.988314769950623</v>
      </c>
      <c r="E54" s="1">
        <f>10^(-C54/20)</f>
        <v>0.86656271697671394</v>
      </c>
      <c r="F54" s="4">
        <f>50*((1+E54)/(1-E54))</f>
        <v>699.41573849753127</v>
      </c>
      <c r="G54" s="7">
        <f t="shared" si="34"/>
        <v>7.9565165971784507E-2</v>
      </c>
      <c r="H54" s="1">
        <f>0.027+0.11*E54*E54</f>
        <v>0.10960240366994708</v>
      </c>
      <c r="I54" s="1">
        <f>H54</f>
        <v>0.10960240366994708</v>
      </c>
      <c r="J54" s="1">
        <f>E54-I54</f>
        <v>0.75696031330676683</v>
      </c>
      <c r="K54" s="1">
        <f>E54+I54</f>
        <v>0.97616512064666106</v>
      </c>
      <c r="L54" s="1">
        <f t="shared" si="30"/>
        <v>7.2291086991254128</v>
      </c>
      <c r="M54" s="1">
        <f t="shared" si="31"/>
        <v>82.910640802963698</v>
      </c>
      <c r="O54">
        <f>C54</f>
        <v>1.244</v>
      </c>
      <c r="P54" s="4">
        <f>6.8763-0.2966595*B54+0.073987544*B54^2-0.0068091249*B54^3+0.000214033624*B54^4</f>
        <v>6.9282605775000015</v>
      </c>
      <c r="Q54">
        <v>37</v>
      </c>
      <c r="R54" s="5">
        <f>O54+P54+10*LOG10(10^((-P54-O54)/10)+10^(-Q54/10)+2*10^((-P54-O54-Q54)/20))</f>
        <v>0.30880501050039477</v>
      </c>
      <c r="S54" s="5">
        <f>O54+P54+10*LOG10(10^((-P54-O54)/10)+10^(-Q54/10)-2*10^((-P54-O54-Q54)/20))</f>
        <v>-0.32018979864322539</v>
      </c>
      <c r="T54" s="4">
        <f>O54-R54</f>
        <v>0.93519498949960522</v>
      </c>
      <c r="U54" s="4">
        <f>O54-S54</f>
        <v>1.5641897986432254</v>
      </c>
      <c r="V54" s="3">
        <f>(1+(10^(O54/20)))/((10^(O54/20))-1)</f>
        <v>13.988314769950623</v>
      </c>
      <c r="W54" s="3">
        <f t="shared" si="32"/>
        <v>11.135925786970489</v>
      </c>
      <c r="X54" s="3">
        <f t="shared" si="33"/>
        <v>18.593510486400913</v>
      </c>
    </row>
    <row r="55" spans="2:24">
      <c r="B55">
        <v>18</v>
      </c>
      <c r="C55" s="1">
        <v>2.504</v>
      </c>
      <c r="D55" s="3">
        <f>(1+(10^(C55/20)))/((10^(C55/20))-1)</f>
        <v>6.9855923875690031</v>
      </c>
      <c r="E55" s="1">
        <f>10^(-C55/20)</f>
        <v>0.7495489497919583</v>
      </c>
      <c r="F55" s="4">
        <f>50*((1+E55)/(1-E55))</f>
        <v>349.27961937845015</v>
      </c>
      <c r="G55" s="7">
        <f t="shared" si="34"/>
        <v>6.6327653969395939E-2</v>
      </c>
      <c r="H55" s="1">
        <f>0.027+0.11*E55*E55</f>
        <v>8.8800599094765037E-2</v>
      </c>
      <c r="I55" s="1">
        <f>H55</f>
        <v>8.8800599094765037E-2</v>
      </c>
      <c r="J55" s="1">
        <f>E55-I55</f>
        <v>0.66074835069719329</v>
      </c>
      <c r="K55" s="1">
        <f>E55+I55</f>
        <v>0.83834954888672331</v>
      </c>
      <c r="L55" s="1">
        <f t="shared" si="30"/>
        <v>4.8953287452255099</v>
      </c>
      <c r="M55" s="1">
        <f t="shared" si="31"/>
        <v>11.372374999426993</v>
      </c>
      <c r="O55">
        <f>C55</f>
        <v>2.504</v>
      </c>
      <c r="P55" s="4">
        <f>6.8763-0.2966595*B55+0.073987544*B55^2-0.0068091249*B55^3+0.000214033624*B55^4</f>
        <v>8.2659705522239975</v>
      </c>
      <c r="Q55">
        <v>36.5</v>
      </c>
      <c r="R55" s="5">
        <f>O55+P55+10*LOG10(10^((-P55-O55)/10)+10^(-Q55/10)+2*10^((-P55-O55-Q55)/20))</f>
        <v>0.43784532858946967</v>
      </c>
      <c r="S55" s="5">
        <f>O55+P55+10*LOG10(10^((-P55-O55)/10)+10^(-Q55/10)-2*10^((-P55-O55-Q55)/20))</f>
        <v>-0.46109369499555974</v>
      </c>
      <c r="T55" s="4">
        <f>O55-R55</f>
        <v>2.0661546714105303</v>
      </c>
      <c r="U55" s="4">
        <f>O55-S55</f>
        <v>2.9650936949955597</v>
      </c>
      <c r="V55" s="3">
        <f>(1+(10^(O55/20)))/((10^(O55/20))-1)</f>
        <v>6.9855923875690031</v>
      </c>
      <c r="W55" s="3">
        <f t="shared" si="32"/>
        <v>5.9155469820723239</v>
      </c>
      <c r="X55" s="3">
        <f t="shared" si="33"/>
        <v>8.4473910600266677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S36"/>
  <sheetViews>
    <sheetView workbookViewId="0">
      <selection activeCell="E28" sqref="E28"/>
    </sheetView>
  </sheetViews>
  <sheetFormatPr baseColWidth="10" defaultRowHeight="15"/>
  <sheetData>
    <row r="3" spans="2:19">
      <c r="B3" t="s">
        <v>13</v>
      </c>
      <c r="C3" t="s">
        <v>14</v>
      </c>
    </row>
    <row r="4" spans="2:19">
      <c r="B4" t="s">
        <v>21</v>
      </c>
      <c r="C4" t="s">
        <v>22</v>
      </c>
    </row>
    <row r="5" spans="2:19">
      <c r="B5">
        <v>2</v>
      </c>
      <c r="C5">
        <v>38</v>
      </c>
    </row>
    <row r="6" spans="2:19">
      <c r="B6">
        <v>4</v>
      </c>
      <c r="C6">
        <v>38.5</v>
      </c>
      <c r="R6">
        <v>18</v>
      </c>
      <c r="S6">
        <v>8.2889999999999997</v>
      </c>
    </row>
    <row r="7" spans="2:19">
      <c r="B7">
        <v>6</v>
      </c>
      <c r="C7">
        <v>37</v>
      </c>
      <c r="R7">
        <v>16</v>
      </c>
      <c r="S7">
        <v>7.093</v>
      </c>
    </row>
    <row r="8" spans="2:19">
      <c r="B8">
        <v>8</v>
      </c>
      <c r="C8">
        <v>38.5</v>
      </c>
      <c r="R8">
        <v>14</v>
      </c>
      <c r="S8">
        <v>6.9530000000000003</v>
      </c>
    </row>
    <row r="9" spans="2:19">
      <c r="B9">
        <v>10</v>
      </c>
      <c r="C9">
        <v>36</v>
      </c>
      <c r="N9" t="s">
        <v>24</v>
      </c>
      <c r="R9">
        <v>12</v>
      </c>
      <c r="S9">
        <v>6.5830000000000002</v>
      </c>
    </row>
    <row r="10" spans="2:19">
      <c r="B10">
        <v>12</v>
      </c>
      <c r="C10">
        <v>38</v>
      </c>
      <c r="R10">
        <v>10</v>
      </c>
      <c r="S10">
        <v>6.4729999999999999</v>
      </c>
    </row>
    <row r="11" spans="2:19">
      <c r="B11">
        <v>14</v>
      </c>
      <c r="C11">
        <v>40</v>
      </c>
      <c r="R11">
        <v>8</v>
      </c>
      <c r="S11">
        <v>6.798</v>
      </c>
    </row>
    <row r="12" spans="2:19">
      <c r="B12">
        <v>16</v>
      </c>
      <c r="C12">
        <v>35.5</v>
      </c>
      <c r="R12">
        <v>6</v>
      </c>
      <c r="S12">
        <v>6.5570000000000004</v>
      </c>
    </row>
    <row r="13" spans="2:19">
      <c r="B13">
        <v>18</v>
      </c>
      <c r="C13">
        <v>36.5</v>
      </c>
      <c r="R13">
        <v>4</v>
      </c>
      <c r="S13">
        <v>6.4430000000000005</v>
      </c>
    </row>
    <row r="14" spans="2:19">
      <c r="R14">
        <v>2</v>
      </c>
      <c r="S14">
        <v>6.5449999999999999</v>
      </c>
    </row>
    <row r="16" spans="2:19">
      <c r="C16" t="s">
        <v>23</v>
      </c>
    </row>
    <row r="17" spans="2:17">
      <c r="B17" t="s">
        <v>21</v>
      </c>
      <c r="C17" t="s">
        <v>53</v>
      </c>
      <c r="D17" t="s">
        <v>54</v>
      </c>
      <c r="E17" t="s">
        <v>55</v>
      </c>
      <c r="F17" t="s">
        <v>52</v>
      </c>
    </row>
    <row r="18" spans="2:17">
      <c r="B18">
        <v>18</v>
      </c>
      <c r="C18">
        <v>0.56299999999999994</v>
      </c>
      <c r="D18">
        <v>-7.726</v>
      </c>
      <c r="E18" s="2">
        <f>C18-D18</f>
        <v>8.2889999999999997</v>
      </c>
      <c r="F18">
        <f>6.8763-0.2966595*B18+0.073987544*B18^2-0.0068091249*B18^3+0.000214033624*B18^4</f>
        <v>8.2659705522239975</v>
      </c>
    </row>
    <row r="19" spans="2:17">
      <c r="B19">
        <v>16</v>
      </c>
      <c r="C19">
        <v>1.276</v>
      </c>
      <c r="D19">
        <v>-5.8170000000000002</v>
      </c>
      <c r="E19" s="2">
        <f t="shared" ref="E19:E26" si="0">C19-D19</f>
        <v>7.093</v>
      </c>
      <c r="F19">
        <f t="shared" ref="F19:F26" si="1">6.8763-0.2966595*B19+0.073987544*B19^2-0.0068091249*B19^3+0.000214033624*B19^4</f>
        <v>7.2072912560640017</v>
      </c>
    </row>
    <row r="20" spans="2:17">
      <c r="B20">
        <v>14</v>
      </c>
      <c r="C20">
        <v>1.9550000000000001</v>
      </c>
      <c r="D20">
        <v>-4.9980000000000002</v>
      </c>
      <c r="E20" s="2">
        <f t="shared" si="0"/>
        <v>6.9530000000000003</v>
      </c>
      <c r="F20">
        <f t="shared" si="1"/>
        <v>6.762702597984001</v>
      </c>
    </row>
    <row r="21" spans="2:17" ht="15.75">
      <c r="B21">
        <v>12</v>
      </c>
      <c r="C21">
        <v>2.5739999999999998</v>
      </c>
      <c r="D21">
        <v>-4.0090000000000003</v>
      </c>
      <c r="E21" s="2">
        <f t="shared" si="0"/>
        <v>6.5830000000000002</v>
      </c>
      <c r="F21">
        <f t="shared" si="1"/>
        <v>6.6426257360640006</v>
      </c>
      <c r="P21" s="9" t="s">
        <v>26</v>
      </c>
    </row>
    <row r="22" spans="2:17">
      <c r="B22">
        <v>10</v>
      </c>
      <c r="C22">
        <v>2.1920000000000002</v>
      </c>
      <c r="D22">
        <v>-4.2809999999999997</v>
      </c>
      <c r="E22" s="2">
        <f t="shared" si="0"/>
        <v>6.4729999999999999</v>
      </c>
      <c r="F22">
        <f t="shared" si="1"/>
        <v>6.6396707400000006</v>
      </c>
    </row>
    <row r="23" spans="2:17">
      <c r="B23">
        <v>8</v>
      </c>
      <c r="C23">
        <v>5.8949999999999996</v>
      </c>
      <c r="D23">
        <v>-0.90300000000000002</v>
      </c>
      <c r="E23" s="2">
        <f t="shared" si="0"/>
        <v>6.798</v>
      </c>
      <c r="F23">
        <f t="shared" si="1"/>
        <v>6.6286365911040015</v>
      </c>
    </row>
    <row r="24" spans="2:17">
      <c r="B24">
        <v>6</v>
      </c>
      <c r="C24">
        <v>7.8620000000000001</v>
      </c>
      <c r="D24">
        <v>1.3049999999999999</v>
      </c>
      <c r="E24" s="2">
        <f t="shared" si="0"/>
        <v>6.5570000000000004</v>
      </c>
      <c r="F24">
        <f t="shared" si="1"/>
        <v>6.5665111823039997</v>
      </c>
    </row>
    <row r="25" spans="2:17">
      <c r="B25">
        <v>4</v>
      </c>
      <c r="C25">
        <v>8.4830000000000005</v>
      </c>
      <c r="D25">
        <v>2.04</v>
      </c>
      <c r="E25" s="2">
        <f t="shared" si="0"/>
        <v>6.4430000000000005</v>
      </c>
      <c r="F25">
        <f t="shared" si="1"/>
        <v>6.4924713181439992</v>
      </c>
      <c r="N25" t="s">
        <v>25</v>
      </c>
    </row>
    <row r="26" spans="2:17">
      <c r="B26">
        <v>2</v>
      </c>
      <c r="C26">
        <v>8.173</v>
      </c>
      <c r="D26">
        <v>1.6279999999999999</v>
      </c>
      <c r="E26" s="2">
        <f t="shared" si="0"/>
        <v>6.5449999999999999</v>
      </c>
      <c r="F26">
        <f t="shared" si="1"/>
        <v>6.527882714784</v>
      </c>
    </row>
    <row r="29" spans="2:17">
      <c r="P29" s="10" t="s">
        <v>27</v>
      </c>
      <c r="Q29" s="10"/>
    </row>
    <row r="30" spans="2:17">
      <c r="P30" s="10" t="s">
        <v>28</v>
      </c>
      <c r="Q30" s="10"/>
    </row>
    <row r="31" spans="2:17">
      <c r="P31" s="10" t="s">
        <v>29</v>
      </c>
      <c r="Q31" s="10"/>
    </row>
    <row r="32" spans="2:17">
      <c r="P32" s="10" t="s">
        <v>30</v>
      </c>
      <c r="Q32" s="10"/>
    </row>
    <row r="33" spans="16:17">
      <c r="P33" s="10" t="s">
        <v>31</v>
      </c>
      <c r="Q33" s="10"/>
    </row>
    <row r="34" spans="16:17">
      <c r="P34" s="10" t="s">
        <v>32</v>
      </c>
      <c r="Q34" s="10"/>
    </row>
    <row r="35" spans="16:17">
      <c r="P35" s="10" t="s">
        <v>33</v>
      </c>
      <c r="Q35" s="10"/>
    </row>
    <row r="36" spans="16:17">
      <c r="P36" s="10" t="s">
        <v>34</v>
      </c>
      <c r="Q36" s="10"/>
    </row>
  </sheetData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4:G24"/>
  <sheetViews>
    <sheetView tabSelected="1" workbookViewId="0">
      <selection activeCell="B17" sqref="B17:G24"/>
    </sheetView>
  </sheetViews>
  <sheetFormatPr baseColWidth="10" defaultRowHeight="15"/>
  <cols>
    <col min="2" max="2" width="11.42578125" style="2"/>
  </cols>
  <sheetData>
    <row r="4" spans="1:6">
      <c r="B4" t="s">
        <v>41</v>
      </c>
      <c r="C4" t="s">
        <v>37</v>
      </c>
      <c r="D4" t="s">
        <v>42</v>
      </c>
      <c r="E4" t="s">
        <v>50</v>
      </c>
      <c r="F4" t="s">
        <v>51</v>
      </c>
    </row>
    <row r="5" spans="1:6">
      <c r="A5" t="s">
        <v>44</v>
      </c>
      <c r="B5" t="s">
        <v>45</v>
      </c>
      <c r="C5" t="s">
        <v>46</v>
      </c>
      <c r="D5" t="s">
        <v>47</v>
      </c>
      <c r="E5" t="s">
        <v>49</v>
      </c>
      <c r="F5" t="s">
        <v>48</v>
      </c>
    </row>
    <row r="6" spans="1:6">
      <c r="A6">
        <v>2</v>
      </c>
      <c r="B6" s="3">
        <v>1.0201550886083601</v>
      </c>
      <c r="C6" s="3">
        <v>1.0142896609214207</v>
      </c>
      <c r="D6" s="3">
        <v>1.0425423093523314</v>
      </c>
      <c r="E6" s="3">
        <v>2.5468160205014194</v>
      </c>
      <c r="F6" s="3">
        <v>2.4821815927628261</v>
      </c>
    </row>
    <row r="7" spans="1:6">
      <c r="A7">
        <v>4</v>
      </c>
      <c r="B7" s="3">
        <v>1.0505200796339929</v>
      </c>
      <c r="C7" s="3">
        <v>1.065373012420914</v>
      </c>
      <c r="D7" s="3">
        <v>1.0853039959221453</v>
      </c>
      <c r="E7" s="3">
        <v>3.3205281261493065</v>
      </c>
      <c r="F7" s="3">
        <v>3.2589048450182232</v>
      </c>
    </row>
    <row r="8" spans="1:6">
      <c r="A8">
        <v>6</v>
      </c>
      <c r="B8" s="3">
        <v>1.0657550047702644</v>
      </c>
      <c r="C8" s="3">
        <v>1.0786279142208235</v>
      </c>
      <c r="D8" s="3">
        <v>1.139753862258656</v>
      </c>
      <c r="E8" s="3">
        <v>1.1546602852372416</v>
      </c>
      <c r="F8" s="3">
        <v>1.1224137046273142</v>
      </c>
    </row>
    <row r="9" spans="1:6">
      <c r="A9">
        <v>8</v>
      </c>
      <c r="B9" s="3">
        <v>1.1278312960620236</v>
      </c>
      <c r="C9" s="3">
        <v>1.0365720906754821</v>
      </c>
      <c r="D9" s="3">
        <v>1.1643531878148918</v>
      </c>
      <c r="E9" s="3">
        <v>10.52196131760385</v>
      </c>
      <c r="F9" s="3">
        <v>10.127004386652166</v>
      </c>
    </row>
    <row r="10" spans="1:6">
      <c r="A10">
        <v>12</v>
      </c>
      <c r="B10" s="3">
        <v>1.097264229240265</v>
      </c>
      <c r="C10" s="3">
        <v>1.1175961600831807</v>
      </c>
      <c r="D10" s="3">
        <v>1.2058631248208551</v>
      </c>
      <c r="E10" s="3">
        <v>7.5003542596169757</v>
      </c>
      <c r="F10" s="3">
        <v>2.9563335144701584</v>
      </c>
    </row>
    <row r="11" spans="1:6">
      <c r="A11">
        <v>15</v>
      </c>
      <c r="B11" s="3">
        <v>1.6234898508514541</v>
      </c>
      <c r="C11" s="3">
        <v>1.0701540360596424</v>
      </c>
      <c r="D11" s="3">
        <v>1.2957498746864371</v>
      </c>
      <c r="E11" s="3">
        <v>11.594571500532192</v>
      </c>
      <c r="F11" s="3">
        <v>13.988314769950623</v>
      </c>
    </row>
    <row r="12" spans="1:6">
      <c r="A12">
        <v>18</v>
      </c>
      <c r="B12" s="3">
        <v>2.0483813846322256</v>
      </c>
      <c r="C12" s="3">
        <v>1.1167820640846478</v>
      </c>
      <c r="D12" s="3">
        <v>1.4325808425575166</v>
      </c>
      <c r="E12" s="3">
        <v>8.1775903997318373</v>
      </c>
      <c r="F12" s="3">
        <v>6.9855923875690031</v>
      </c>
    </row>
    <row r="13" spans="1:6">
      <c r="B13" s="3"/>
    </row>
    <row r="14" spans="1:6">
      <c r="B14" s="3"/>
    </row>
    <row r="16" spans="1:6" ht="15.75" thickBot="1"/>
    <row r="17" spans="2:7" ht="15.75" thickBot="1">
      <c r="B17" s="20" t="s">
        <v>44</v>
      </c>
      <c r="C17" s="21" t="s">
        <v>45</v>
      </c>
      <c r="D17" s="21" t="s">
        <v>46</v>
      </c>
      <c r="E17" s="21" t="s">
        <v>47</v>
      </c>
      <c r="F17" s="21" t="s">
        <v>49</v>
      </c>
      <c r="G17" s="22" t="s">
        <v>48</v>
      </c>
    </row>
    <row r="18" spans="2:7" ht="15.75" thickTop="1">
      <c r="B18" s="17">
        <v>2</v>
      </c>
      <c r="C18" s="18">
        <v>1.0201550886083601</v>
      </c>
      <c r="D18" s="18">
        <v>1.0142896609214207</v>
      </c>
      <c r="E18" s="18">
        <v>1.0425423093523314</v>
      </c>
      <c r="F18" s="18">
        <v>2.5468160205014194</v>
      </c>
      <c r="G18" s="19">
        <v>2.4821815927628261</v>
      </c>
    </row>
    <row r="19" spans="2:7">
      <c r="B19" s="12">
        <v>4</v>
      </c>
      <c r="C19" s="11">
        <v>1.0505200796339929</v>
      </c>
      <c r="D19" s="11">
        <v>1.065373012420914</v>
      </c>
      <c r="E19" s="11">
        <v>1.0853039959221453</v>
      </c>
      <c r="F19" s="11">
        <v>3.3205281261493065</v>
      </c>
      <c r="G19" s="13">
        <v>3.2589048450182232</v>
      </c>
    </row>
    <row r="20" spans="2:7">
      <c r="B20" s="12">
        <v>6</v>
      </c>
      <c r="C20" s="11">
        <v>1.0657550047702644</v>
      </c>
      <c r="D20" s="11">
        <v>1.0786279142208235</v>
      </c>
      <c r="E20" s="11">
        <v>1.139753862258656</v>
      </c>
      <c r="F20" s="11">
        <v>1.1546602852372416</v>
      </c>
      <c r="G20" s="13">
        <v>1.1224137046273142</v>
      </c>
    </row>
    <row r="21" spans="2:7">
      <c r="B21" s="12">
        <v>8</v>
      </c>
      <c r="C21" s="11">
        <v>1.1278312960620236</v>
      </c>
      <c r="D21" s="11">
        <v>1.0365720906754821</v>
      </c>
      <c r="E21" s="11">
        <v>1.1643531878148918</v>
      </c>
      <c r="F21" s="11">
        <v>10.52196131760385</v>
      </c>
      <c r="G21" s="13">
        <v>10.127004386652166</v>
      </c>
    </row>
    <row r="22" spans="2:7">
      <c r="B22" s="12">
        <v>12</v>
      </c>
      <c r="C22" s="11">
        <v>1.097264229240265</v>
      </c>
      <c r="D22" s="11">
        <v>1.1175961600831807</v>
      </c>
      <c r="E22" s="11">
        <v>1.2058631248208551</v>
      </c>
      <c r="F22" s="11">
        <v>7.5003542596169757</v>
      </c>
      <c r="G22" s="13">
        <v>2.9563335144701584</v>
      </c>
    </row>
    <row r="23" spans="2:7">
      <c r="B23" s="12">
        <v>15</v>
      </c>
      <c r="C23" s="11">
        <v>1.6234898508514541</v>
      </c>
      <c r="D23" s="11">
        <v>1.0701540360596424</v>
      </c>
      <c r="E23" s="11">
        <v>1.2957498746864371</v>
      </c>
      <c r="F23" s="11">
        <v>11.594571500532192</v>
      </c>
      <c r="G23" s="13">
        <v>13.988314769950623</v>
      </c>
    </row>
    <row r="24" spans="2:7" ht="15.75" thickBot="1">
      <c r="B24" s="14">
        <v>18</v>
      </c>
      <c r="C24" s="15">
        <v>2.0483813846322256</v>
      </c>
      <c r="D24" s="15">
        <v>1.1167820640846478</v>
      </c>
      <c r="E24" s="15">
        <v>1.4325808425575166</v>
      </c>
      <c r="F24" s="15">
        <v>8.1775903997318373</v>
      </c>
      <c r="G24" s="16">
        <v>6.9855923875690031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Summary</vt:lpstr>
      <vt:lpstr>Directivity and Loss (Narda)</vt:lpstr>
      <vt:lpstr>Diagrams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SWR of various terminations</dc:title>
  <dc:creator>Dr. Simon Schrödle</dc:creator>
  <cp:lastModifiedBy>user1</cp:lastModifiedBy>
  <dcterms:created xsi:type="dcterms:W3CDTF">2014-08-24T13:54:27Z</dcterms:created>
  <dcterms:modified xsi:type="dcterms:W3CDTF">2014-08-28T01:29:44Z</dcterms:modified>
</cp:coreProperties>
</file>